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C:\Users\GuillaumeVonRoten\Cimark SA\ProKilowatt - Documents\02 Ausschreibung\01 Ausschreibung\11. Ausschreibung 2020\04_Definitive Unterlagen\04 Programme électroménager\"/>
    </mc:Choice>
  </mc:AlternateContent>
  <xr:revisionPtr revIDLastSave="397" documentId="13_ncr:1_{FBA98DEA-81C3-4597-A81F-D7D0D7A5DB9E}" xr6:coauthVersionLast="45" xr6:coauthVersionMax="45" xr10:uidLastSave="{E97EF09C-0348-4EC2-8DEC-0D995CE08025}"/>
  <workbookProtection workbookAlgorithmName="SHA-512" workbookHashValue="C8TxALsv7xeNQxsvBURU1W9ptbqKnw2Mx6P5XcbpEo70j78a40JR1x3R3/6jq5zzdCS2VVxBqRk3MyuJwgreIg==" workbookSaltValue="bd23cjDsveW26OcrGkTnwg==" workbookSpinCount="100000" lockStructure="1"/>
  <bookViews>
    <workbookView xWindow="28680" yWindow="-120" windowWidth="38640" windowHeight="15840"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70" l="1"/>
  <c r="L20" i="100" l="1"/>
  <c r="L21" i="100"/>
  <c r="L22" i="100"/>
  <c r="L23" i="100"/>
  <c r="L24" i="100"/>
  <c r="L25" i="100"/>
  <c r="L26" i="100"/>
  <c r="S29" i="99" l="1"/>
  <c r="S30" i="99"/>
  <c r="S31" i="99"/>
  <c r="S32" i="99"/>
  <c r="S34" i="99"/>
  <c r="S33" i="99"/>
  <c r="F17" i="70"/>
  <c r="B27" i="67"/>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696" i="106" s="1"/>
  <c r="B697" i="106" s="1"/>
  <c r="B698" i="106" s="1"/>
  <c r="B699"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6" i="106" l="1"/>
  <c r="E9" i="105" s="1"/>
  <c r="C697" i="106"/>
  <c r="B36" i="105" s="1"/>
  <c r="C699" i="106"/>
  <c r="B25" i="67" s="1"/>
  <c r="C698" i="106"/>
  <c r="B29" i="105" s="1"/>
  <c r="C694" i="106"/>
  <c r="B28" i="105" s="1"/>
  <c r="C695" i="106"/>
  <c r="B37" i="105" s="1"/>
  <c r="C693" i="106"/>
  <c r="B30" i="105" s="1"/>
  <c r="C540" i="106"/>
  <c r="C692" i="106"/>
  <c r="C691" i="106"/>
  <c r="C504" i="106"/>
  <c r="C472" i="106"/>
  <c r="B9" i="66" s="1"/>
  <c r="C440" i="106"/>
  <c r="C344" i="106"/>
  <c r="C312" i="106"/>
  <c r="C216" i="106"/>
  <c r="C152" i="106"/>
  <c r="B5" i="70" s="1"/>
  <c r="C120" i="106"/>
  <c r="C56" i="106"/>
  <c r="D41" i="67" s="1"/>
  <c r="C24" i="106"/>
  <c r="C17" i="53" s="1"/>
  <c r="C676" i="106"/>
  <c r="B25" i="105" s="1"/>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A27" i="99" s="1"/>
  <c r="C550" i="106"/>
  <c r="U11" i="99" s="1"/>
  <c r="C558" i="106"/>
  <c r="C566" i="106"/>
  <c r="C574" i="106"/>
  <c r="C582" i="106"/>
  <c r="C590" i="106"/>
  <c r="A4" i="101" s="1"/>
  <c r="C598" i="106"/>
  <c r="B40" i="105" s="1"/>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B9" i="54" s="1"/>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20" i="99" s="1"/>
  <c r="C535" i="106"/>
  <c r="C30" i="99" s="1"/>
  <c r="C543" i="106"/>
  <c r="E28" i="100" s="1"/>
  <c r="C551" i="106"/>
  <c r="U12" i="99" s="1"/>
  <c r="C559" i="106"/>
  <c r="U35" i="99" s="1"/>
  <c r="C567" i="106"/>
  <c r="J9" i="100" s="1"/>
  <c r="C575" i="106"/>
  <c r="C583" i="106"/>
  <c r="H41" i="79" s="1"/>
  <c r="C591" i="106"/>
  <c r="C599" i="106"/>
  <c r="B41" i="105" s="1"/>
  <c r="C607" i="106"/>
  <c r="C615" i="106"/>
  <c r="C623" i="106"/>
  <c r="C631" i="106"/>
  <c r="C639" i="106"/>
  <c r="C647" i="106"/>
  <c r="E8" i="105" s="1"/>
  <c r="C655" i="106"/>
  <c r="C663" i="106"/>
  <c r="B12" i="105" s="1"/>
  <c r="C671" i="106"/>
  <c r="B20" i="105" s="1"/>
  <c r="C679" i="106"/>
  <c r="C687" i="106"/>
  <c r="C11" i="106"/>
  <c r="B10" i="53" s="1"/>
  <c r="C19" i="106"/>
  <c r="C27" i="106"/>
  <c r="C35" i="106"/>
  <c r="E14" i="53" s="1"/>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E16" i="70" s="1"/>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U10" i="99" s="1"/>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B14" i="105" s="1"/>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A3" i="79" s="1"/>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C137" i="106"/>
  <c r="H14" i="79" s="1"/>
  <c r="C105" i="106"/>
  <c r="C73" i="106"/>
  <c r="C41" i="106"/>
  <c r="H10" i="53" s="1"/>
  <c r="C9" i="106"/>
  <c r="D40" i="67" s="1"/>
  <c r="C661" i="106"/>
  <c r="B10" i="105" s="1"/>
  <c r="C629" i="106"/>
  <c r="C597" i="106"/>
  <c r="B39" i="105" s="1"/>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B35" i="105" s="1"/>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G14" i="70"/>
  <c r="C12" i="53"/>
  <c r="G8" i="70"/>
  <c r="G11" i="54"/>
  <c r="G13" i="54"/>
  <c r="B8" i="70"/>
  <c r="D9" i="53"/>
  <c r="B10" i="54"/>
  <c r="H26" i="99"/>
  <c r="G26" i="99"/>
  <c r="H37" i="99"/>
  <c r="F36" i="99"/>
  <c r="O9" i="100"/>
  <c r="B6" i="105"/>
  <c r="H4" i="53"/>
  <c r="U16" i="99"/>
  <c r="H9" i="100"/>
  <c r="B33" i="105"/>
  <c r="H15" i="79"/>
  <c r="A4" i="79"/>
  <c r="D41" i="79"/>
  <c r="B22" i="79"/>
  <c r="B26" i="79"/>
  <c r="F10" i="54"/>
  <c r="E13" i="53" l="1"/>
  <c r="O9" i="99"/>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F15" i="70"/>
  <c r="F6" i="70"/>
  <c r="L11" i="99"/>
  <c r="Q28" i="99"/>
  <c r="Q29" i="9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E25" i="100"/>
  <c r="E24" i="100"/>
  <c r="E23" i="100"/>
  <c r="E22" i="100"/>
  <c r="E21" i="100"/>
  <c r="E20" i="100"/>
  <c r="E19" i="100"/>
  <c r="L19" i="100" s="1"/>
  <c r="E11" i="100"/>
  <c r="D4" i="100"/>
  <c r="D3" i="100"/>
  <c r="Q27" i="99"/>
  <c r="Q21" i="99"/>
  <c r="K12" i="99"/>
  <c r="K11" i="99"/>
  <c r="K14" i="99"/>
  <c r="J27" i="99"/>
  <c r="J16" i="99"/>
  <c r="J20" i="99"/>
  <c r="J15" i="99"/>
  <c r="I12" i="99"/>
  <c r="J14" i="99"/>
  <c r="I11" i="99"/>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s="1"/>
  <c r="D4" i="99"/>
  <c r="D3" i="99"/>
  <c r="C32" i="67"/>
  <c r="E32" i="67"/>
  <c r="C31" i="67"/>
  <c r="B17" i="67"/>
  <c r="F15" i="54"/>
  <c r="F14" i="54"/>
  <c r="F11" i="54"/>
  <c r="F9" i="54"/>
  <c r="A24"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I25" i="100" l="1"/>
  <c r="C9" i="79"/>
  <c r="S14" i="99"/>
  <c r="T14" i="99" s="1"/>
  <c r="S16" i="99"/>
  <c r="T16" i="99" s="1"/>
  <c r="F9" i="70"/>
  <c r="F4" i="101"/>
  <c r="U37" i="99" s="1"/>
  <c r="B13" i="101"/>
  <c r="S11" i="99"/>
  <c r="T11" i="99" s="1"/>
  <c r="O34" i="99"/>
  <c r="S20" i="99"/>
  <c r="S17" i="99"/>
  <c r="T17" i="99" s="1"/>
  <c r="S15" i="99"/>
  <c r="T15" i="99" s="1"/>
  <c r="O28" i="99"/>
  <c r="L28" i="99" s="1"/>
  <c r="S28" i="99" s="1"/>
  <c r="S12" i="99"/>
  <c r="T12" i="99" s="1"/>
  <c r="S19" i="99"/>
  <c r="T19" i="99" s="1"/>
  <c r="S18" i="99"/>
  <c r="T18" i="99" s="1"/>
  <c r="O33" i="99"/>
  <c r="L33" i="99" s="1"/>
  <c r="O32" i="99"/>
  <c r="O27" i="99"/>
  <c r="O31" i="99"/>
  <c r="L31" i="99" s="1"/>
  <c r="M38" i="99"/>
  <c r="O30" i="99"/>
  <c r="L30" i="99" s="1"/>
  <c r="O29" i="99"/>
  <c r="L29" i="99" s="1"/>
  <c r="O35" i="99"/>
  <c r="L35" i="99" s="1"/>
  <c r="G26" i="100"/>
  <c r="T20" i="99"/>
  <c r="G25" i="100"/>
  <c r="K25" i="100" s="1"/>
  <c r="G24" i="100"/>
  <c r="G19" i="100"/>
  <c r="I19" i="100"/>
  <c r="G22" i="100"/>
  <c r="I26" i="100"/>
  <c r="I23" i="100"/>
  <c r="L32" i="99"/>
  <c r="I22" i="100"/>
  <c r="C35" i="79"/>
  <c r="E2" i="70"/>
  <c r="E15" i="53" s="1"/>
  <c r="E20" i="67" s="1"/>
  <c r="C32" i="79"/>
  <c r="I24" i="100"/>
  <c r="G21" i="100"/>
  <c r="C8" i="79"/>
  <c r="F28" i="100"/>
  <c r="F30" i="100" s="1"/>
  <c r="E12" i="79" s="1"/>
  <c r="Q36" i="99"/>
  <c r="H28" i="100"/>
  <c r="H30" i="100" s="1"/>
  <c r="E18" i="79" s="1"/>
  <c r="L21" i="99"/>
  <c r="P22" i="99" s="1"/>
  <c r="J21" i="99"/>
  <c r="C27" i="79" s="1"/>
  <c r="I21" i="99"/>
  <c r="I37" i="99"/>
  <c r="E41" i="79" s="1"/>
  <c r="N38" i="99"/>
  <c r="C33" i="79"/>
  <c r="J36" i="99"/>
  <c r="I21" i="100"/>
  <c r="I20" i="100"/>
  <c r="Z21" i="99"/>
  <c r="G23" i="100"/>
  <c r="G20" i="100"/>
  <c r="U21" i="99" l="1"/>
  <c r="T33" i="99"/>
  <c r="T32" i="99"/>
  <c r="T29" i="99"/>
  <c r="T28" i="99"/>
  <c r="T30" i="99"/>
  <c r="T31" i="99"/>
  <c r="Z36" i="99"/>
  <c r="R35" i="99"/>
  <c r="S35" i="99" s="1"/>
  <c r="T35" i="99" s="1"/>
  <c r="K26" i="100"/>
  <c r="K19" i="100"/>
  <c r="K24" i="100"/>
  <c r="O36" i="99"/>
  <c r="O38" i="99" s="1"/>
  <c r="Q22" i="99"/>
  <c r="K22" i="100"/>
  <c r="K23" i="100"/>
  <c r="L27" i="99"/>
  <c r="S27" i="99" s="1"/>
  <c r="Q41" i="99"/>
  <c r="C39" i="79"/>
  <c r="K21" i="100"/>
  <c r="L34" i="99"/>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P30" i="100"/>
  <c r="E23" i="79" s="1"/>
  <c r="P2" i="100"/>
  <c r="E18" i="53" s="1"/>
  <c r="E23" i="67" s="1"/>
  <c r="R2" i="99"/>
  <c r="E22" i="79"/>
  <c r="J2" i="99"/>
  <c r="B23" i="101" l="1"/>
  <c r="E25" i="67" s="1"/>
  <c r="E17" i="53"/>
  <c r="E22" i="67" s="1"/>
  <c r="E44" i="79"/>
  <c r="E45" i="79"/>
</calcChain>
</file>

<file path=xl/sharedStrings.xml><?xml version="1.0" encoding="utf-8"?>
<sst xmlns="http://schemas.openxmlformats.org/spreadsheetml/2006/main" count="2315" uniqueCount="1970">
  <si>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</si>
  <si>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</si>
  <si>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</si>
  <si>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</si>
  <si>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</si>
  <si>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</si>
  <si>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</si>
  <si>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</si>
  <si>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</si>
  <si>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</si>
  <si>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</si>
  <si>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</si>
  <si>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</si>
  <si>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</si>
  <si>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</si>
  <si>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</si>
  <si>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</si>
  <si>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</si>
  <si>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</si>
  <si>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</si>
  <si>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</si>
  <si>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</si>
  <si>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</si>
  <si>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</si>
  <si>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</si>
  <si>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</si>
  <si>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</si>
  <si>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</si>
  <si>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</si>
  <si>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</si>
  <si>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</si>
  <si>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</si>
  <si>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</si>
  <si>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</si>
  <si>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</si>
  <si>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</si>
  <si>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</si>
  <si>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</si>
  <si>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</si>
  <si>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</si>
  <si>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</si>
  <si>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</si>
  <si>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</si>
  <si>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</si>
  <si>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</si>
  <si>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</si>
  <si>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</si>
  <si>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</si>
  <si>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</si>
  <si>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</si>
  <si>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</si>
  <si>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</si>
  <si>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</si>
  <si>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</si>
  <si>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</si>
  <si>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</si>
  <si>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</si>
  <si>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</si>
  <si>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</si>
  <si>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</si>
  <si>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</si>
  <si>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</si>
  <si>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</si>
  <si>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</si>
  <si>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</si>
  <si>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</si>
  <si>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</si>
  <si>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</si>
  <si>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</si>
  <si>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</si>
  <si>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</si>
  <si>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</si>
  <si>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</si>
  <si>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</si>
  <si>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</si>
  <si>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</si>
  <si>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</si>
  <si>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</si>
  <si>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</si>
  <si>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</si>
  <si>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</si>
  <si>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</si>
  <si>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</si>
  <si>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</si>
  <si>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</si>
  <si>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</si>
  <si>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</si>
  <si>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</si>
  <si>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</si>
  <si>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</si>
  <si>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</si>
  <si>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</si>
  <si>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</si>
  <si>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</si>
  <si>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</si>
  <si>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</si>
  <si>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</si>
  <si>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</si>
  <si>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</si>
  <si>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</si>
  <si>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</si>
  <si>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</si>
  <si>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</si>
  <si>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</si>
  <si>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</si>
  <si>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</si>
  <si>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</si>
  <si>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</si>
  <si>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</si>
  <si>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</si>
  <si>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</si>
  <si>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</si>
  <si>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</si>
  <si>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</si>
  <si>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</si>
  <si>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</si>
  <si>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</si>
  <si>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</si>
  <si>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</si>
  <si>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</si>
  <si>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</si>
  <si>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</si>
  <si>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</si>
  <si>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</si>
  <si>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</si>
  <si>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</si>
  <si>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</si>
  <si>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</si>
  <si>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</si>
  <si>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</si>
  <si>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</si>
  <si>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</si>
  <si>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</si>
  <si>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</si>
  <si>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</si>
  <si>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</si>
  <si>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</si>
  <si>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</si>
  <si>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</si>
  <si>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</si>
  <si>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</si>
  <si>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</si>
  <si>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</si>
  <si>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</si>
  <si>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</si>
  <si>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</si>
  <si>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</si>
  <si>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</si>
  <si>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</si>
  <si>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</si>
  <si>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</si>
  <si>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</si>
  <si>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</si>
  <si>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</si>
  <si>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</si>
  <si>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</si>
  <si>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</si>
  <si>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</si>
  <si>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</si>
  <si>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</si>
  <si>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</si>
  <si>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</si>
  <si>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</si>
  <si>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</si>
  <si>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</si>
  <si>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</si>
  <si>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</si>
  <si>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</si>
  <si>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</si>
  <si>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</si>
  <si>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</si>
  <si>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</si>
  <si>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</si>
  <si>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</si>
  <si>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</si>
  <si>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</si>
  <si>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</si>
  <si>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</si>
  <si>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</si>
  <si>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</si>
  <si>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</si>
  <si>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</si>
  <si>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</si>
  <si>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</si>
  <si>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</si>
  <si>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</si>
  <si>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</si>
  <si>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</si>
  <si>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</si>
  <si>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</si>
  <si>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</si>
  <si>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</si>
  <si>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</si>
  <si>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</si>
  <si>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</si>
  <si>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</si>
  <si>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</si>
  <si>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</si>
  <si>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</si>
  <si>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</si>
  <si>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</si>
  <si>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</si>
  <si>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</si>
  <si>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</si>
  <si>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</si>
  <si>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</si>
  <si>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</si>
  <si>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</si>
  <si>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</si>
  <si>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</si>
  <si>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</si>
  <si>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</si>
  <si>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</si>
  <si>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</si>
  <si>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</si>
  <si>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</si>
  <si>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</si>
  <si>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</si>
  <si>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</si>
  <si>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</si>
  <si>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</si>
  <si>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</si>
  <si>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</si>
  <si>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</si>
  <si>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</si>
  <si>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</si>
  <si>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</si>
  <si>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</si>
  <si>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</si>
  <si>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</si>
  <si>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</si>
  <si>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</si>
  <si>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</si>
  <si>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</si>
  <si>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</si>
  <si>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</si>
  <si>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</si>
  <si>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</si>
  <si>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</si>
  <si>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</si>
  <si>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</si>
  <si>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</si>
  <si>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</si>
  <si>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</si>
  <si>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</si>
  <si>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</si>
  <si>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</si>
  <si>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</si>
  <si>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</si>
  <si>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</si>
  <si>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</si>
  <si>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</si>
  <si>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</si>
  <si>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</si>
  <si>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</si>
  <si>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</si>
  <si>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</si>
  <si>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</si>
  <si>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</si>
  <si>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</si>
  <si>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</si>
  <si>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</si>
  <si>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</si>
  <si>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</si>
  <si>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</si>
  <si>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</si>
  <si>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</si>
  <si>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</si>
  <si>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</si>
  <si>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</si>
  <si>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</si>
  <si>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</si>
  <si>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</si>
  <si>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</si>
  <si>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</si>
  <si>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</si>
  <si>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</si>
  <si>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</si>
  <si>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</si>
  <si>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</si>
  <si>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</si>
  <si>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</si>
  <si>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</si>
  <si>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</si>
  <si>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</si>
  <si>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</si>
  <si>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</si>
  <si>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</si>
  <si>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</si>
  <si>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</si>
  <si>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</si>
  <si>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</si>
  <si>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</si>
  <si>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</si>
  <si>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</si>
  <si>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</si>
  <si>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</si>
  <si>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</si>
  <si>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</si>
  <si>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</si>
  <si>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</si>
  <si>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</si>
  <si>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</si>
  <si>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</si>
  <si>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</si>
  <si>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</si>
  <si>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</si>
  <si>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</si>
  <si>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</si>
  <si>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</si>
  <si>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</si>
  <si>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</si>
  <si>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</si>
  <si>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</si>
  <si>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</si>
  <si>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</si>
  <si>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</si>
  <si>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</si>
  <si>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</si>
  <si>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</si>
  <si>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</si>
  <si>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</si>
  <si>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</si>
  <si>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</si>
  <si>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</si>
  <si>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</si>
  <si>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</si>
  <si>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</si>
  <si>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</si>
  <si>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</si>
  <si>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</si>
  <si>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</si>
  <si>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</si>
  <si>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</si>
  <si>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</si>
  <si>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</si>
  <si>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</si>
  <si>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</si>
  <si>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</si>
  <si>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</si>
  <si>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</si>
  <si>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</si>
  <si>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</si>
  <si>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</si>
  <si>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</si>
  <si>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</si>
  <si>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</si>
  <si>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</si>
  <si>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</si>
  <si>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</si>
  <si>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</si>
  <si>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</si>
  <si>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</si>
  <si>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</si>
  <si>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</si>
  <si>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</si>
  <si>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</si>
  <si>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</si>
  <si>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</si>
  <si>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</si>
  <si>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</si>
  <si>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</si>
  <si>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</si>
  <si>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</si>
  <si>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</si>
  <si>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</si>
  <si>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</si>
  <si>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</si>
  <si>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</si>
  <si>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</si>
  <si>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</si>
  <si>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</si>
  <si>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</si>
  <si>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</si>
  <si>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</si>
  <si>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</si>
  <si>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</si>
  <si>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</si>
  <si>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</si>
  <si>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</si>
  <si>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</si>
  <si>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</si>
  <si>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</si>
  <si>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</si>
  <si>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</si>
  <si>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</si>
  <si>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</si>
  <si>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</si>
  <si>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</si>
  <si>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</si>
  <si>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</si>
  <si>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</si>
  <si>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</si>
  <si>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</si>
  <si>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</si>
  <si>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</si>
  <si>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</si>
  <si>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</si>
  <si>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</si>
  <si>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</si>
  <si>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</si>
  <si>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</si>
  <si>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</si>
  <si>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</si>
  <si>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</si>
  <si>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</si>
  <si>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</si>
  <si>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</si>
  <si>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</si>
  <si>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</si>
  <si>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</si>
  <si>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</si>
  <si>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</si>
  <si>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</si>
  <si>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</si>
  <si>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</si>
  <si>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</si>
  <si>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</si>
  <si>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</si>
  <si>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</si>
  <si>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</si>
  <si>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</si>
  <si>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</si>
  <si>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</si>
  <si>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</si>
  <si>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</si>
  <si>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</si>
  <si>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</si>
  <si>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</si>
  <si>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</si>
  <si>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</si>
  <si>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</si>
  <si>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</si>
  <si>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</si>
  <si>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</si>
  <si>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</si>
  <si>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</si>
  <si>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</si>
  <si>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</si>
  <si>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</si>
  <si>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</si>
  <si>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</si>
  <si>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</si>
  <si>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</si>
  <si>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</si>
  <si>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</si>
  <si>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</si>
  <si>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</si>
  <si>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</si>
  <si>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</si>
  <si>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</si>
  <si>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</si>
  <si>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</si>
  <si>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</si>
  <si>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</si>
  <si>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</si>
  <si>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</si>
  <si>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</si>
  <si>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</si>
  <si>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</si>
  <si>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</si>
  <si>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</si>
  <si>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</si>
  <si>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</si>
  <si>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</si>
  <si>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</si>
  <si>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</si>
  <si>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</si>
  <si>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</si>
  <si>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</si>
  <si>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</si>
  <si>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</si>
  <si>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</si>
  <si>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</si>
  <si>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</si>
  <si>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</si>
  <si>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</si>
  <si>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</si>
  <si>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</si>
  <si>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</si>
  <si>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</si>
  <si>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</si>
  <si>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</si>
  <si>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</si>
  <si>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</si>
  <si>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</si>
  <si>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</si>
  <si>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</si>
  <si>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</si>
  <si>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</si>
  <si>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</si>
  <si>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</si>
  <si>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</si>
  <si>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</si>
  <si>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</si>
  <si>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</si>
  <si>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</si>
  <si>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</si>
  <si>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</si>
  <si>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</si>
  <si>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</si>
  <si>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</si>
  <si>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</si>
  <si>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</si>
  <si>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</si>
  <si>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</si>
  <si>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</si>
  <si>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</si>
  <si>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</si>
  <si>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</si>
  <si>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</si>
  <si>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</si>
  <si>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</si>
  <si>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</si>
  <si>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</si>
  <si>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</si>
  <si>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</si>
  <si>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</si>
  <si>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</si>
  <si>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</si>
  <si>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</si>
  <si>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</si>
  <si>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</si>
  <si>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</si>
  <si>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</si>
  <si>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</si>
  <si>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</si>
  <si>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</si>
  <si>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</si>
  <si>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</si>
  <si>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</si>
  <si>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</si>
  <si>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</si>
  <si>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</si>
  <si>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</si>
  <si>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</si>
  <si>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</si>
  <si>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</si>
  <si>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</si>
  <si>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</si>
  <si>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</si>
  <si>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</si>
  <si>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</si>
  <si>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</si>
  <si>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</si>
  <si>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</si>
  <si>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</si>
  <si>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</si>
  <si>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</si>
  <si>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</si>
  <si>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</si>
  <si>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</si>
  <si>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</si>
  <si>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</si>
  <si>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</si>
  <si>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</si>
  <si>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</si>
  <si>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</si>
  <si>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</si>
  <si>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</si>
  <si>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</si>
  <si>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</si>
  <si>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</si>
  <si>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</si>
  <si>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</si>
  <si>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</si>
  <si>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</si>
  <si>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</si>
  <si>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</si>
  <si>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</si>
  <si>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</si>
  <si>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</si>
  <si>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</si>
  <si>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</si>
  <si>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</si>
  <si>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</si>
  <si>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</si>
  <si>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</si>
  <si>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</si>
  <si>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</si>
  <si>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</si>
  <si>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</si>
  <si>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</si>
  <si>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</si>
  <si>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</si>
  <si>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</si>
  <si>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</si>
  <si>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</si>
  <si>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</si>
  <si>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</si>
  <si>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</si>
  <si>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</si>
  <si>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</si>
  <si>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</si>
  <si>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</si>
  <si>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</si>
  <si>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</si>
  <si>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</si>
  <si>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</si>
  <si>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</si>
  <si>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</si>
  <si>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</si>
  <si>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</si>
  <si>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</si>
  <si>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</si>
  <si>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</si>
  <si>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</si>
  <si>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</si>
  <si>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</si>
  <si>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</si>
  <si>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</si>
  <si>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</si>
  <si>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</si>
  <si>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</si>
  <si>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</si>
  <si>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</si>
  <si>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</si>
  <si>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</si>
  <si>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</si>
  <si>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</si>
  <si>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</si>
  <si>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</si>
  <si>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</si>
  <si>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</si>
  <si>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</si>
  <si>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</si>
  <si>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</si>
  <si>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</si>
  <si>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</si>
  <si>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</si>
  <si>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</si>
  <si>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</si>
  <si>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</si>
  <si>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</si>
  <si>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</si>
  <si>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</si>
  <si>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</si>
  <si>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</si>
  <si>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</si>
  <si>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</si>
  <si>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</si>
  <si>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</si>
  <si>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</si>
  <si>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</si>
  <si>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</si>
  <si>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</si>
  <si>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</si>
  <si>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</si>
  <si>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</si>
  <si>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</si>
  <si>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</si>
  <si>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</si>
  <si>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</si>
  <si>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</si>
  <si>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</si>
  <si>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</si>
  <si>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</si>
  <si>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</si>
  <si>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</si>
  <si>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</si>
  <si>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</si>
  <si>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</si>
  <si>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</si>
  <si>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</si>
  <si>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</si>
  <si>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</si>
  <si>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</si>
  <si>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</si>
  <si>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</si>
  <si>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</si>
  <si>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</si>
  <si>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</si>
  <si>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</si>
  <si>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</si>
  <si>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</si>
  <si>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</si>
  <si>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</si>
  <si>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</si>
  <si>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</si>
  <si>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</si>
  <si>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</si>
  <si>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</si>
  <si>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</si>
  <si>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</si>
  <si>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</si>
  <si>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</si>
  <si>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</si>
  <si>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</si>
  <si>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</si>
  <si>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</si>
  <si>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</si>
  <si>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</si>
  <si>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</si>
  <si>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</si>
  <si>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</si>
  <si>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</si>
  <si>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</si>
  <si>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</si>
  <si>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</si>
  <si>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</si>
  <si>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</si>
  <si>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</si>
  <si>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</si>
  <si>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</si>
  <si>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</si>
  <si>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</si>
  <si>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</si>
  <si>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</si>
  <si>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</si>
  <si>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</si>
  <si>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</si>
  <si>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</si>
  <si>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</si>
  <si>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</si>
  <si>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</si>
  <si>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</si>
  <si>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</si>
  <si>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</si>
  <si>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</si>
  <si>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</si>
  <si>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</si>
  <si>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</si>
  <si>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</si>
  <si>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</si>
  <si>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</si>
  <si>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</si>
  <si>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</si>
  <si>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</si>
  <si>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</si>
  <si>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</si>
  <si>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</si>
  <si>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</si>
  <si>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</si>
  <si>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</si>
  <si>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</si>
  <si>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</si>
  <si>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</si>
  <si>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</si>
  <si>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</si>
  <si>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</si>
  <si>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</si>
  <si>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</si>
  <si>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</si>
  <si>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</si>
  <si>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</si>
  <si>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</si>
  <si>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</si>
  <si>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</si>
  <si>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</si>
  <si>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</si>
  <si>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</si>
  <si>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</si>
  <si>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</si>
  <si>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</si>
  <si>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</si>
  <si>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</si>
  <si>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</si>
  <si>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</si>
  <si>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</si>
  <si>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</si>
  <si>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</si>
  <si>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</si>
  <si>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</si>
  <si>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</si>
  <si>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</si>
  <si>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</si>
  <si>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</si>
  <si>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</si>
  <si>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</si>
  <si>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</si>
  <si>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</si>
  <si>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</si>
  <si>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</si>
  <si>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</si>
  <si>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</si>
  <si>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</si>
  <si>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</si>
  <si>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</si>
  <si>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</si>
  <si>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</si>
  <si>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</si>
  <si>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</si>
  <si>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</si>
  <si>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</si>
  <si>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</si>
  <si>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</si>
  <si>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</si>
  <si>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</si>
  <si>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</si>
  <si>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</si>
  <si>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</si>
  <si>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</si>
  <si>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</si>
  <si>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</si>
  <si>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</si>
  <si>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</si>
  <si>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</si>
  <si>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</si>
  <si>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</si>
  <si>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</si>
  <si>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</si>
  <si>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</si>
  <si>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</si>
  <si>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</si>
  <si>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</si>
  <si>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</si>
  <si>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</si>
  <si>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</si>
  <si>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</si>
  <si>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</si>
  <si>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</si>
  <si>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</si>
  <si>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</si>
  <si>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</si>
  <si>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</si>
  <si>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</si>
  <si>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</si>
  <si>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</si>
  <si>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</si>
  <si>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</si>
  <si>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</si>
  <si>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</si>
  <si>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</si>
  <si>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</si>
  <si>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</si>
  <si>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</si>
  <si>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</si>
  <si>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</si>
  <si>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</si>
  <si>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</si>
  <si>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</si>
  <si>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</si>
  <si>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</si>
  <si>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</si>
  <si>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</si>
  <si>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</si>
  <si>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</si>
  <si>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</si>
  <si>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</si>
  <si>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</si>
  <si>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</si>
  <si>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</si>
  <si>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</si>
  <si>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</si>
  <si>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</si>
  <si>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</si>
  <si>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</si>
  <si>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</si>
  <si>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</si>
  <si>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</si>
  <si>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</si>
  <si>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</si>
  <si>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</si>
  <si>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</si>
  <si>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</si>
  <si>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</si>
  <si>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</si>
  <si>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</si>
  <si>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</si>
  <si>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</si>
  <si>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</si>
  <si>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</si>
  <si>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</si>
  <si>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</si>
  <si>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</si>
  <si>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</si>
  <si>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</si>
  <si>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</si>
  <si>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</si>
  <si>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</si>
  <si>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</si>
  <si>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</si>
  <si>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</si>
  <si>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</si>
  <si>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</si>
  <si>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</si>
  <si>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</si>
  <si>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</si>
  <si>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</si>
  <si>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</si>
  <si>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</si>
  <si>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</si>
  <si>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</si>
  <si>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</si>
  <si>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</si>
  <si>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</si>
  <si>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</si>
  <si>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</si>
  <si>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</si>
  <si>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</si>
  <si>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</si>
  <si>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</si>
  <si>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</si>
  <si>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</si>
  <si>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</si>
  <si>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</si>
  <si>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</si>
  <si>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</si>
  <si>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</si>
  <si>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</si>
  <si>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</si>
  <si>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</si>
  <si>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</si>
  <si>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</si>
  <si>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</si>
  <si>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</si>
  <si>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</si>
  <si>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</si>
  <si>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</si>
  <si>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</si>
  <si>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</si>
  <si>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</si>
  <si>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</si>
  <si>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</si>
  <si>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</si>
  <si>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</si>
  <si>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</si>
  <si>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</si>
  <si>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</si>
  <si>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</si>
  <si>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</si>
  <si>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</si>
  <si>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</si>
  <si>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</si>
  <si>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</si>
  <si>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</si>
  <si>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</si>
  <si>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</si>
  <si>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</si>
  <si>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</si>
  <si>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</si>
  <si>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</si>
  <si>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</si>
  <si>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</si>
  <si>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</si>
  <si>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</si>
  <si>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</si>
  <si>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</si>
  <si>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</si>
  <si>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</si>
  <si>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</si>
  <si>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</si>
  <si>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</si>
  <si>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</si>
  <si>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</si>
  <si>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</si>
  <si>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</si>
  <si>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</si>
  <si>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</si>
  <si>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</si>
  <si>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</si>
  <si>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</si>
  <si>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</si>
  <si>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</si>
  <si>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</si>
  <si>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</si>
  <si>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</si>
  <si>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</si>
  <si>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</si>
  <si>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</si>
  <si>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</si>
  <si>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</si>
  <si>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</si>
  <si>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</si>
  <si>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</si>
  <si>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</si>
  <si>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</si>
  <si>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</si>
  <si>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</si>
  <si>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</si>
  <si>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</si>
  <si>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</si>
  <si>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</si>
  <si>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</si>
  <si>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</si>
  <si>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</si>
  <si>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</si>
  <si>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</si>
  <si>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</si>
  <si>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</si>
  <si>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</si>
  <si>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</si>
  <si>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</si>
  <si>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</si>
  <si>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</si>
  <si>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</si>
  <si>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</si>
  <si>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</si>
  <si>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</si>
  <si>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</si>
  <si>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</si>
  <si>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</si>
  <si>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</si>
  <si>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</si>
  <si>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</si>
  <si>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</si>
  <si>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</si>
  <si>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</si>
  <si>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</si>
  <si>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</si>
  <si>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</si>
  <si>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</si>
  <si>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</si>
  <si>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</si>
  <si>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</si>
  <si>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</si>
  <si>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</si>
  <si>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</si>
  <si>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</si>
  <si>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</si>
  <si>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</si>
  <si>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</si>
  <si>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</si>
  <si>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</si>
  <si>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</si>
  <si>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</si>
  <si>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</si>
  <si>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</si>
  <si>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</si>
  <si>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</si>
  <si>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</si>
  <si>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</si>
  <si>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</si>
  <si>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</si>
  <si>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</si>
  <si>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</si>
  <si>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</si>
  <si>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</si>
  <si>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</si>
  <si>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</si>
  <si>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</si>
  <si>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</si>
  <si>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</si>
  <si>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</si>
  <si>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</si>
  <si>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</si>
  <si>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</si>
  <si>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</si>
  <si>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</si>
  <si>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</si>
  <si>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</si>
  <si>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</si>
  <si>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</si>
  <si>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</si>
  <si>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</si>
  <si>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</si>
  <si>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</si>
  <si>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</si>
  <si>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</si>
  <si>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</si>
  <si>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</si>
  <si>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</si>
  <si>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</si>
  <si>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</si>
  <si>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</si>
  <si>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</si>
  <si>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</si>
  <si>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</si>
  <si>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</si>
  <si>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</si>
  <si>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</si>
  <si>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</si>
  <si>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</si>
  <si>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</si>
  <si>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</si>
  <si>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</si>
  <si>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</si>
  <si>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</si>
  <si>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</si>
  <si>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</si>
  <si>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</si>
  <si>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</si>
  <si>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</si>
  <si>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</si>
  <si>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</si>
  <si>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</si>
  <si>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</si>
  <si>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</si>
  <si>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</si>
  <si>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</si>
  <si>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</si>
  <si>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</si>
  <si>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</si>
  <si>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</si>
  <si>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</si>
  <si>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</si>
  <si>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</si>
  <si>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</si>
  <si>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</si>
  <si>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</si>
  <si>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</si>
  <si>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</si>
  <si>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</si>
  <si>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</si>
  <si>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</si>
  <si>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</si>
  <si>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</si>
  <si>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</si>
  <si>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</si>
  <si>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</si>
  <si>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</si>
  <si>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</si>
  <si>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</si>
  <si>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</si>
  <si>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</si>
  <si>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</si>
  <si>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</si>
  <si>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</si>
  <si>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</si>
  <si>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</si>
  <si>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</si>
  <si>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</si>
  <si>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</si>
  <si>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</si>
  <si>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</si>
  <si>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</si>
  <si>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</si>
  <si>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</si>
  <si>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</si>
  <si>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</si>
  <si>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</si>
  <si>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</si>
  <si>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</si>
  <si>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</si>
  <si>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</si>
  <si>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</si>
  <si>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</si>
  <si>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</si>
  <si>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</si>
  <si>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</si>
  <si>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</si>
  <si>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</si>
  <si>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</si>
  <si>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</si>
  <si>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</si>
  <si>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</si>
  <si>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</si>
  <si>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</si>
  <si>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</si>
  <si>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</si>
  <si>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</si>
  <si>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</si>
  <si>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</si>
  <si>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</si>
  <si>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</si>
  <si>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</si>
  <si>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</si>
  <si>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</si>
  <si>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</si>
  <si>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</si>
  <si>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</si>
  <si>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</si>
  <si>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</si>
  <si>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</si>
  <si>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</si>
  <si>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</si>
  <si>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</si>
  <si>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</si>
  <si>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</si>
  <si>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</si>
  <si>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</si>
  <si>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</si>
  <si>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</si>
  <si>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</si>
  <si>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</si>
  <si>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</si>
  <si>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</si>
  <si>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</si>
  <si>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</si>
  <si>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</si>
  <si>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</si>
  <si>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</si>
  <si>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</si>
  <si>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</si>
  <si>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</si>
  <si>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</si>
  <si>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</si>
  <si>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</si>
  <si>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</si>
  <si>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</si>
  <si>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</si>
  <si>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</si>
  <si>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</si>
  <si>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</si>
  <si>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</si>
  <si>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</si>
  <si>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</si>
  <si>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</si>
  <si>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</si>
  <si>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</si>
  <si>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</si>
  <si>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</si>
  <si>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</si>
  <si>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</si>
  <si>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</si>
  <si>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</si>
  <si>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</si>
  <si>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</si>
  <si>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</si>
  <si>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</si>
  <si>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</si>
  <si>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</si>
  <si>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</si>
  <si>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</si>
  <si>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</si>
  <si>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</si>
  <si>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</si>
  <si>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</si>
  <si>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</si>
  <si>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</si>
  <si>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</si>
  <si>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</si>
  <si>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</si>
  <si>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</si>
  <si>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</si>
  <si>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</si>
  <si>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</si>
  <si>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</si>
  <si>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</si>
  <si>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</si>
  <si>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</si>
  <si>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</si>
  <si>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</si>
  <si>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</si>
  <si>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</si>
  <si>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</si>
  <si>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</si>
  <si>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</si>
  <si>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</si>
  <si>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</si>
  <si>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</si>
  <si>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</si>
  <si>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</si>
  <si>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</si>
  <si>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</si>
  <si>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</si>
  <si>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</si>
  <si>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</si>
  <si>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</si>
  <si>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</si>
  <si>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</si>
  <si>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</si>
  <si>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</si>
  <si>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</si>
  <si>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</si>
  <si>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</si>
  <si>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</si>
  <si>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</si>
  <si>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</si>
  <si>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</si>
  <si>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</si>
  <si>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</si>
  <si>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</si>
  <si>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</si>
  <si>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</si>
  <si>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</si>
  <si>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</si>
  <si>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</si>
  <si>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</si>
  <si>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</si>
  <si>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</si>
  <si>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</si>
  <si>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</si>
  <si>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</si>
  <si>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</si>
  <si>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</si>
  <si>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</si>
  <si>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</si>
  <si>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</si>
  <si>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</si>
  <si>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</si>
  <si>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</si>
  <si>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</si>
  <si>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</si>
  <si>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</si>
  <si>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</si>
  <si>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</si>
  <si>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</si>
  <si>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</si>
  <si>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</si>
  <si>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</si>
  <si>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</si>
  <si>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</si>
  <si>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</si>
  <si>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</si>
  <si>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</si>
  <si>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</si>
  <si>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</si>
  <si>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</si>
  <si>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</si>
  <si>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</si>
  <si>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</si>
  <si>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</si>
  <si>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</si>
  <si>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</si>
  <si>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</si>
  <si>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</si>
  <si>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</si>
  <si>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</si>
  <si>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</si>
  <si>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</si>
  <si>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</si>
  <si>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</si>
  <si>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</si>
  <si>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</si>
  <si>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</si>
  <si>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</si>
  <si>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</si>
  <si>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</si>
  <si>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</si>
  <si>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</si>
  <si>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</si>
  <si>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</si>
  <si>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</si>
  <si>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</si>
  <si>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</si>
  <si>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</si>
  <si>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</si>
  <si>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</si>
  <si>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</si>
  <si>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</si>
  <si>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</si>
  <si>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</si>
  <si>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</si>
  <si>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</si>
  <si>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</si>
  <si>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</si>
  <si>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</si>
  <si>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</si>
  <si>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</si>
  <si>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</si>
  <si>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</si>
  <si>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</si>
  <si>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</si>
  <si>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</si>
  <si>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</si>
  <si>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</si>
  <si>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</si>
  <si>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</si>
  <si>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</si>
  <si>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</si>
  <si>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</si>
  <si>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</si>
  <si>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</si>
  <si>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</si>
  <si>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</si>
  <si>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</si>
  <si>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</si>
  <si>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</si>
  <si>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</si>
  <si>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</si>
  <si>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</si>
  <si>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</si>
  <si>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</si>
  <si>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</si>
  <si>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</si>
  <si>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</si>
  <si>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</si>
  <si>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</si>
  <si>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</si>
  <si>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</si>
  <si>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</si>
  <si>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</si>
  <si>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</si>
  <si>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</si>
  <si>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</si>
  <si>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</si>
  <si>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</si>
  <si>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</si>
  <si>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</si>
  <si>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</si>
  <si>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</si>
  <si>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</si>
  <si>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</si>
  <si>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</si>
  <si>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</si>
  <si>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</si>
  <si>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</si>
  <si>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</si>
  <si>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</si>
  <si>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</si>
  <si>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</si>
  <si>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</si>
  <si>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</si>
  <si>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</si>
  <si>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</si>
  <si>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</si>
  <si>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</si>
  <si>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</si>
  <si>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</si>
  <si>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</si>
  <si>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</si>
  <si>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</si>
  <si>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</si>
  <si>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</si>
  <si>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</si>
  <si>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</si>
  <si>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</si>
  <si>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</si>
  <si>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</si>
  <si>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</si>
  <si>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</si>
  <si>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</si>
  <si>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</si>
  <si>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</si>
  <si>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</si>
  <si>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</si>
  <si>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</si>
  <si>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</si>
  <si>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</si>
  <si>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</si>
  <si>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</si>
  <si>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</si>
  <si>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</si>
  <si>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</si>
  <si>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</si>
  <si>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</si>
  <si>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</si>
  <si>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</si>
  <si>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</si>
  <si>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</si>
  <si>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</si>
  <si>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</si>
  <si>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</si>
  <si>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</si>
  <si>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</si>
  <si>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</si>
  <si>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</si>
  <si>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</si>
  <si>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</si>
  <si>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</si>
  <si>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</si>
  <si>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</si>
  <si>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</si>
  <si>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</si>
  <si>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</si>
  <si>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</si>
  <si>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</si>
  <si>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</si>
  <si>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</si>
  <si>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</si>
  <si>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</si>
  <si>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</si>
  <si>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</si>
  <si>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</si>
  <si>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</si>
  <si>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</si>
  <si>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</si>
  <si>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</si>
  <si>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</si>
  <si>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</si>
  <si>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</si>
  <si>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</si>
  <si>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</si>
  <si>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</si>
  <si>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</si>
  <si>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</si>
  <si>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</si>
  <si>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</si>
  <si>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</si>
  <si>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</si>
  <si>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</si>
  <si>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</si>
  <si>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</si>
  <si>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</si>
  <si>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</si>
  <si>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</si>
  <si>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</si>
  <si>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</si>
  <si>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</si>
  <si>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</si>
  <si>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</si>
  <si>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</si>
  <si>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</si>
  <si>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</si>
  <si>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</si>
  <si>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</si>
  <si>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</si>
  <si>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</si>
  <si>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</si>
  <si>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</si>
  <si>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</si>
  <si>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</si>
  <si>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</si>
  <si>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</si>
  <si>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</si>
  <si>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</si>
  <si>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</si>
  <si>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</si>
  <si>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</si>
  <si>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</si>
  <si>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</si>
  <si>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</si>
  <si>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</si>
  <si>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</si>
  <si>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</si>
  <si>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</si>
  <si>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</si>
  <si>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</si>
  <si>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</si>
  <si>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</si>
  <si>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</si>
  <si>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</si>
  <si>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</si>
  <si>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</si>
  <si>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</si>
  <si>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</si>
  <si>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</si>
  <si>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</si>
  <si>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</si>
  <si>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</si>
  <si>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</si>
  <si>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</si>
  <si>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</si>
  <si>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</si>
  <si>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</si>
  <si>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</si>
  <si>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</si>
  <si>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</si>
  <si>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</si>
  <si>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</si>
  <si>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</si>
  <si>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</si>
  <si>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</si>
  <si>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</si>
  <si>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</si>
  <si>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</si>
  <si>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</si>
  <si>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</si>
  <si>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</si>
  <si>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</si>
  <si>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</si>
  <si>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</si>
  <si>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</si>
  <si>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</si>
  <si>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</si>
  <si>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</si>
  <si>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</si>
  <si>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</si>
  <si>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</si>
  <si>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</si>
  <si>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</si>
  <si>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</si>
  <si>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</si>
  <si>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</si>
  <si>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</si>
  <si>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</si>
  <si>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</si>
  <si>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</si>
  <si>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</si>
  <si>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</si>
  <si>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</si>
  <si>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</si>
  <si>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</si>
  <si>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</si>
  <si>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</si>
  <si>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</si>
  <si>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</si>
  <si>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</si>
  <si>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</si>
  <si>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</si>
  <si>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</si>
  <si>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</si>
  <si>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</si>
  <si>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</si>
  <si>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</si>
  <si>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</si>
  <si>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</si>
  <si>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</si>
  <si>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</si>
  <si>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</si>
  <si>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</si>
  <si>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</si>
  <si>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</si>
  <si>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</si>
  <si>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</si>
  <si>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</si>
  <si>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</si>
  <si>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</si>
  <si>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</si>
  <si>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</si>
  <si>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</si>
  <si>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</si>
  <si>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</si>
  <si>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</si>
  <si>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</si>
  <si>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</si>
  <si>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</si>
  <si>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</si>
  <si>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</si>
  <si>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</si>
  <si>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</si>
  <si>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</si>
  <si>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</si>
  <si>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</si>
  <si>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</si>
  <si>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</si>
  <si>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</si>
  <si>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</si>
  <si>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</si>
  <si>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</si>
  <si>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</si>
  <si>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</si>
  <si>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</si>
  <si>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</si>
  <si>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</si>
  <si>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</si>
  <si>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</si>
  <si>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</si>
  <si>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</si>
  <si>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</si>
  <si>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</si>
  <si>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</si>
  <si>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</si>
  <si>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</si>
  <si>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</si>
  <si>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</si>
  <si>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</si>
  <si>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</si>
  <si>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</si>
  <si>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</si>
  <si>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</si>
  <si>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</si>
  <si>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</si>
  <si>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</si>
  <si>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</si>
  <si>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</si>
  <si>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</si>
  <si>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</si>
  <si>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</si>
  <si>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</si>
  <si>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</si>
  <si>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</si>
  <si>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</si>
  <si>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</si>
  <si>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</si>
  <si>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</si>
  <si>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</si>
  <si>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</si>
  <si>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</si>
  <si>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</si>
  <si>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</si>
  <si>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</si>
  <si>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</si>
  <si>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</si>
  <si>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</si>
  <si>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</si>
  <si>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</si>
  <si>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</si>
  <si>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</si>
  <si>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</si>
  <si>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</si>
  <si>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</si>
  <si>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</si>
  <si>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</si>
  <si>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</si>
  <si>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</si>
  <si>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</si>
  <si>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</si>
  <si>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</si>
  <si>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</si>
  <si>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</si>
  <si>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</si>
  <si>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</si>
  <si>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</si>
  <si>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</si>
  <si>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</si>
  <si>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</si>
  <si>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</si>
  <si>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</si>
  <si>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</si>
  <si>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</si>
  <si>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</si>
  <si>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</si>
  <si>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</si>
  <si>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</si>
  <si>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</si>
  <si>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</si>
  <si>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</si>
  <si>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</si>
  <si>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</si>
  <si>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</si>
  <si>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</si>
  <si>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</si>
  <si>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</si>
  <si>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</si>
  <si>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</si>
  <si>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</si>
  <si>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</si>
  <si>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</si>
  <si>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</si>
  <si>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</si>
  <si>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</si>
  <si>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</si>
  <si>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</si>
  <si>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</si>
  <si>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</si>
  <si>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</si>
  <si>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</si>
  <si>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</si>
  <si>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</si>
  <si>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</si>
  <si>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</si>
  <si>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</si>
  <si>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</si>
  <si>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</si>
  <si>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</si>
  <si>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</si>
  <si>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</si>
  <si>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</si>
  <si>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</si>
  <si>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</si>
  <si>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</si>
  <si>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</si>
  <si>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</si>
  <si>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</si>
  <si>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</si>
  <si>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</si>
  <si>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</si>
  <si>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</si>
  <si>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</si>
  <si>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</si>
  <si>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</si>
  <si>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</si>
  <si>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</si>
  <si>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</si>
  <si>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</si>
  <si>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</si>
  <si>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</si>
  <si>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</si>
  <si>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</si>
  <si>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</si>
  <si>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</si>
  <si>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</si>
  <si>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</si>
  <si>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</si>
  <si>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</si>
  <si>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</si>
  <si>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</si>
  <si>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</si>
  <si>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</si>
  <si>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</si>
  <si>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</si>
  <si>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</si>
  <si>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</si>
  <si>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</si>
  <si>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</si>
  <si>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</si>
  <si>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</si>
  <si>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</si>
  <si>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</si>
  <si>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</si>
  <si>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</si>
  <si>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</si>
  <si>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</si>
  <si>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</si>
  <si>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</si>
  <si>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</si>
  <si>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</si>
  <si>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</si>
  <si>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</si>
  <si>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</si>
  <si>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</si>
  <si>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</si>
  <si>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</si>
  <si>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</si>
  <si>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</si>
  <si>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</si>
  <si>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</si>
  <si>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</si>
  <si>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</si>
  <si>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</si>
  <si>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</si>
  <si>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</si>
  <si>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</si>
  <si>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</si>
  <si>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</si>
  <si>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</si>
  <si>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</si>
  <si>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</si>
  <si>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</si>
  <si>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</si>
  <si>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</si>
  <si>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</si>
  <si>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</si>
  <si>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</si>
  <si>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</si>
  <si>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</si>
  <si>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</si>
  <si>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</si>
  <si>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</si>
  <si>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</si>
  <si>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</si>
  <si>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</si>
  <si>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</si>
  <si>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</si>
  <si>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</si>
  <si>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</si>
  <si>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</si>
  <si>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</si>
  <si>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</si>
  <si>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</si>
  <si>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</si>
  <si>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</si>
  <si>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</si>
  <si>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</si>
  <si>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</si>
  <si>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</si>
  <si>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</si>
  <si>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</si>
  <si>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</si>
  <si>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</si>
  <si>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</si>
  <si>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</si>
  <si>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</si>
  <si>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</si>
  <si>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</si>
  <si>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</si>
  <si>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</si>
  <si>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</si>
  <si>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</si>
  <si>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</si>
  <si>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</si>
  <si>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</si>
  <si>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</si>
  <si>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</si>
  <si>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</si>
  <si>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</si>
  <si>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</si>
  <si>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</si>
  <si>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</si>
  <si>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</si>
  <si>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</si>
  <si>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</si>
  <si>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</si>
  <si>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</si>
  <si>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</si>
  <si>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</si>
  <si>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</si>
  <si>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</si>
  <si>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</si>
  <si>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</si>
  <si>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</si>
  <si>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</si>
  <si>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</si>
  <si>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</si>
  <si>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</si>
  <si>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</si>
  <si>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</si>
  <si>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</si>
  <si>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</si>
  <si>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</si>
  <si>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</si>
  <si>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</si>
  <si>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</si>
  <si>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</si>
  <si>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</si>
  <si>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</si>
  <si>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</si>
  <si>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</si>
  <si>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</si>
  <si>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</si>
  <si>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</si>
  <si>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</si>
  <si>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</si>
  <si>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</si>
  <si>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</si>
  <si>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</si>
  <si>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</si>
  <si>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</si>
  <si>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</si>
  <si>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</si>
  <si>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</si>
  <si>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</si>
  <si>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</si>
  <si>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</si>
  <si>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</si>
  <si>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</si>
  <si>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</si>
  <si>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</si>
  <si>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</si>
  <si>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</si>
  <si>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</si>
  <si>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</si>
  <si>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</si>
  <si>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</si>
  <si>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</si>
  <si>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</si>
  <si>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</si>
  <si>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</si>
  <si>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</si>
  <si>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</si>
  <si>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</si>
  <si>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</si>
  <si>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</si>
  <si>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</si>
  <si>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</si>
  <si>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</si>
  <si>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</si>
  <si>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</si>
  <si>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</si>
  <si>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</si>
  <si>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</si>
  <si>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Services</t>
  </si>
  <si>
    <t>Dienstleistungen</t>
  </si>
  <si>
    <t>Servizi</t>
  </si>
  <si>
    <t>Eclairage extérieur (terrain de sport et stade)</t>
  </si>
  <si>
    <t>Câbles électriques</t>
  </si>
  <si>
    <t>Stromkabel</t>
  </si>
  <si>
    <t>Cavi di alimentazione</t>
  </si>
  <si>
    <t>Oct. 2019</t>
  </si>
  <si>
    <t>Avant de remplir la demande, vérifier si le programme est éligible pour l'appel d'offres applicable (voir les conditions pour la soumission des programmes en 2020, chap. 2).</t>
  </si>
  <si>
    <t>Vor dem Ausfüllen des Antrages überprüfen, ob das Programm aufgrund der geltenden Ausschreibung zugelassen ist (siehe Bedingungen für die Einreichung von Programmen 2020 , Kap. 2).</t>
  </si>
  <si>
    <t>Prima di compilare la proposta, verificare se secondo la gara pubblica attuale il programma è ammesso all’asta (cfr. condizioni per la presentazione di programmi 2020, cap. 2).</t>
  </si>
  <si>
    <t>11-Pg</t>
  </si>
  <si>
    <t>La cellule R11 ne doit pas dépasser 10% du montant de la contribution ProKilowatt demandée (voir les conditions pour la soumission des projets et programmes en 2020, chapitre 2.2.1 Pg-1f).</t>
  </si>
  <si>
    <t>Zelle R11 darf maximal 10 % des beantragten ProKilowatt-Förderbeitrages betragen  (siehe Bedingungen für die Einreichung von Projekten und Programmen 2020 , Kapitel 2.2.1 Pg-1f).</t>
  </si>
  <si>
    <t>Il valore della cella R11 non deve superare il 10% del contributo di incentivazione ProKilowatt richiesto (cfr. condizioni per la presentazione di progetti e programmi 2020, capitolo 2.2.1 Pg-1f).</t>
  </si>
  <si>
    <t>Les cellules R14 et R21 ne doivent pas dépasser 30% du montant de la contribution ProKilowatt demandée (voir les conditions pour la soumission des projets et programmes en 2020, chapitre 2.2.1 Pg-1f).</t>
  </si>
  <si>
    <t>Zellen R14 und R21 dürfen maximal 20 % des beantragten ProKilowatt-Förderbeitrages betragen  (siehe Bedingungen für die Einreichung von Projekten und Programmen 2020 , Kapitel 2.2.1 Pg-1f).</t>
  </si>
  <si>
    <t>Il valore delle celle R14 e R21 non deve superare il 30% del contributo di incentivazione ProKilowatt-richiesto (cfr. condizioni per la presentazione di progetti e programmi 2020, capitolo 2.2.1 Pg-1f).</t>
  </si>
  <si>
    <t>La cellule R21 ne doit pas dépasser 30% du montant de la contribution ProKilowatt demandée (voir les conditions pour la soumission des projets et programmes en 2020, chapitre 2.2.1 Pg-1f).</t>
  </si>
  <si>
    <t>Zelle R21 darf maximal 30 % des beantragten ProKilowatt-Förderbeitrages betragen  (siehe Bedingungen für die Einreichung von Projekten und Programmen 2020 , Kapitel 2.2.1 Pg-1f).</t>
  </si>
  <si>
    <t>Il valore della cella R21 non deve superare il 30% del contributo di incentivazione ProKilowatt-richiesto (cfr. condizioni per la presentazione di progetti e programmi 2020, capitolo 2.2.1 Pg-1f).</t>
  </si>
  <si>
    <t xml:space="preserve">
La contribution de soutien ProKilowatt peut atteindre au maximum 30 % de l'investissement total (voir les conditions pour la soumission des programmes en 2020 chap. 2.2.1 Pg-1f).
Une contribution financière maximum de CHF 90 000 par client final peut être accordée.
Les coûts d’investissement par mesure soumise ne peuvent pas dépasser CHF 300 000.</t>
  </si>
  <si>
    <t xml:space="preserve">
Der Förderbeitragdarf maximal 30 % der Gesamtinvestition betragen (siehe Bedingungen für die Einreichung von Programmen 2020, Kap. 2.2.1 Pg-1f).
Die Investitionskosten pro beantragter Massnahme dürfen nicht höher als CHF 300‘000 sein.
Pro Endkunde kann das Programm nicht mehr als CHF 90‘000.- an Fördergelder sprechen. 
</t>
  </si>
  <si>
    <t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t>
  </si>
  <si>
    <t>Coûts des analyses (le cas échéant, description obligatoire au chap.3 Mesures dans le concept de programme)
La cellule Q35 ne doit pas dépasser 10% de la cellule Q36 (voir les conditions pour la soumission des projets et programmes en 2020,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</si>
  <si>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2020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</si>
  <si>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t>
  </si>
  <si>
    <t>La cellule R36 doit dépasser 70% du montant de la contribution ProKilowatt demandée (voir les conditions pour la soumission des projets et programmes en 2020, chapitre 2.2.1 Pg-1f).</t>
  </si>
  <si>
    <t>Zelle R36 darf minimal 70 % des beantragten ProKilowatt-Förderbeitrages betragen  (siehe Bedingungen für die Einreichung von Projekten und Programmen 2020 , Kapitel 2.2.1 Pg-1f).</t>
  </si>
  <si>
    <t>Il valore della cella R36 deve superare il 70% del contributo di incentivazione ProKilowatt-richiesto (cfr. condizioni per la presentazione di progetti e programmi 2020, capitolo 2.2.1 Pg-1f).</t>
  </si>
  <si>
    <t>L'appel d'offres et les conditions pour la soumission des projets et programmes en 2020 à respecter impérativement peuvent être téléchargés sur le site www.prokw.ch.</t>
  </si>
  <si>
    <t>Die Ausschreibung und die verbindlichen Bedingungen für die Einreichung von Projekten und Programmen 2020 können unter www.prokw.ch heruntergeladen werden.</t>
  </si>
  <si>
    <t xml:space="preserve">La gara e le condizioni per la presentazione di progetti e programmi 2020 vincolante possono essere scaricate sul sito www.prokw.ch. </t>
  </si>
  <si>
    <t>Le requérant confirme en écrivant OUI et en apposant une signature valide légalement qu'il a lu et accepté les «Conditions pour la soumission des projets et programmes en 2020».</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</si>
  <si>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2020»  gelesen und akzeptiert hat.</t>
    </r>
  </si>
  <si>
    <t>Il richiedente conferma con un SÌ e con una firma legalmente valida di avere letto e accettato les  «Condizioni per la presentazione di progetti e programmi 2020».</t>
  </si>
  <si>
    <t>Contrôle rapport coût/utilité &lt; 15cts/kWh</t>
  </si>
  <si>
    <t>KostenNutzen Verhältnis Steuerung &lt; 15cts/kWh</t>
  </si>
  <si>
    <t>Controllo del rapporto costo/utility &lt; 15cts/kWh</t>
  </si>
  <si>
    <t>haushaltgerate</t>
  </si>
  <si>
    <t xml:space="preserve">Indications des dates possibles pour le début (&gt; 01.03.2021) et la fin  (&lt; 01.03.2024) du programme </t>
  </si>
  <si>
    <t>Startdatum (&gt; 01.03.2021) und Enddatum  (&lt; 01.03.2024) des Programmes</t>
  </si>
  <si>
    <t>Indicazione delle date di inizio (&gt; 01.03.2021) e fine (&lt; 01.03.2024) del programma</t>
  </si>
  <si>
    <t>Réfrigérateurs et congélateurs</t>
  </si>
  <si>
    <t>Kühl- und Gefriergeräte </t>
  </si>
  <si>
    <t>Frigoriferi e congelatori</t>
  </si>
  <si>
    <t>Machine à laver</t>
  </si>
  <si>
    <t>Waschmaschine</t>
  </si>
  <si>
    <t>Lavatrice</t>
  </si>
  <si>
    <t>Lavastoviglie</t>
  </si>
  <si>
    <t>Geschirrspüler</t>
  </si>
  <si>
    <t>Lave-vaisselle</t>
  </si>
  <si>
    <t>check cout &lt; 15cts/kwh</t>
  </si>
  <si>
    <t>Consommation électrique de l'installation standard / unité</t>
  </si>
  <si>
    <t>Stromverbrauch Standardanlage / Einheit</t>
  </si>
  <si>
    <t>Consumo di elettricità del impianto standard /unità</t>
  </si>
  <si>
    <t>Consommation éléctrique de l'installation standard / total</t>
  </si>
  <si>
    <t>Stromverbrauch Standardanlage / insgesamt</t>
  </si>
  <si>
    <t>Consumo di elettricità del impianto standard / totale</t>
  </si>
  <si>
    <t>Durée d'utilisation imputable</t>
  </si>
  <si>
    <t>Anrechenbare Nutzungsdauer</t>
  </si>
  <si>
    <t>Durata di utilizzo computabile</t>
  </si>
  <si>
    <t>Appels d'offres publics 2020
Formulaire de demande de programme pour les appareils électroménagers</t>
  </si>
  <si>
    <t>Wettbewerbliche Ausschreibungen 2020
Antragsformular Haushaltgeräteprogramm</t>
  </si>
  <si>
    <t>Gare pubbliche 2020
Formulario di proposta per programma elettrodomestici</t>
  </si>
  <si>
    <t>Version 1.0</t>
  </si>
  <si>
    <t>Italiano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</si>
</sst>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_ * #,##0_ ;_ * \-#,##0_ ;_ * &quot;-&quot;??_ ;_ @_ "/>
    <numFmt numFmtId="167" formatCode="_ * #,##0.0_ ;_ * \-#,##0.0_ ;_ * &quot;-&quot;??_ ;_ @_ "/>
    <numFmt numFmtId="168" formatCode="_-* #,##0.00\ [$€]_-;\-* #,##0.00\ [$€]_-;_-* &quot;-&quot;??\ [$€]_-;_-@_-"/>
    <numFmt numFmtId="169" formatCode="#,##0.0"/>
    <numFmt numFmtId="170" formatCode="#,##0.00_ ;\-#,##0.00\ "/>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protection locked="0"/>
    </xf>
    <xf numFmtId="0" fontId="6" fillId="0" borderId="0" applyNumberFormat="0" applyFill="0" applyBorder="0" applyAlignment="0" applyProtection="0">
      <alignment vertical="top"/>
      <protection locked="0"/>
    </xf>
    <xf numFmtId="168" fontId="4"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64" fontId="4" fillId="0" borderId="0" applyFont="0" applyFill="0" applyBorder="0" applyAlignment="0" applyProtection="0"/>
    <xf numFmtId="164" fontId="5" fillId="0" borderId="0" applyFont="0" applyFill="0" applyBorder="0" applyAlignment="0" applyProtection="0"/>
    <xf numFmtId="0" fontId="5" fillId="0" borderId="0"/>
    <xf numFmtId="0" fontId="5" fillId="0" borderId="0">
      <protection locked="0"/>
    </xf>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protection locked="0"/>
    </xf>
    <xf numFmtId="0" fontId="3" fillId="0" borderId="0"/>
    <xf numFmtId="0" fontId="2" fillId="0" borderId="0"/>
  </cellStyleXfs>
  <cellXfs count="590">
    <xf numFmtId="0" fontId="0" fillId="0" borderId="0" xfId="0">
      <protection locked="0"/>
    </xf>
    <xf numFmtId="0" fontId="0" fillId="0" borderId="1" xfId="0" applyBorder="1" applyAlignment="1" applyProtection="1">
      <alignment vertical="center"/>
    </xf>
    <xf numFmtId="0" fontId="5"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6"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2" fillId="0" borderId="2" xfId="4" applyFont="1" applyFill="1" applyBorder="1" applyAlignment="1" applyProtection="1">
      <alignment vertical="center"/>
    </xf>
    <xf numFmtId="0" fontId="0" fillId="0" borderId="0" xfId="0" applyAlignment="1" applyProtection="1">
      <alignment vertical="center"/>
    </xf>
    <xf numFmtId="165" fontId="0" fillId="0" borderId="0" xfId="0" applyNumberForma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1" xfId="0" applyFont="1" applyBorder="1" applyAlignment="1" applyProtection="1">
      <alignment vertical="center" wrapText="1"/>
    </xf>
    <xf numFmtId="0" fontId="0" fillId="4" borderId="1" xfId="0" applyFill="1" applyBorder="1" applyAlignment="1" applyProtection="1">
      <alignment vertical="center"/>
    </xf>
    <xf numFmtId="0" fontId="9" fillId="0" borderId="0" xfId="0" applyFont="1" applyAlignment="1" applyProtection="1">
      <alignment vertical="center"/>
    </xf>
    <xf numFmtId="165" fontId="5" fillId="0" borderId="0" xfId="0" applyNumberFormat="1" applyFont="1" applyBorder="1" applyAlignment="1" applyProtection="1">
      <alignment vertical="center"/>
    </xf>
    <xf numFmtId="0" fontId="5" fillId="0" borderId="0" xfId="0" applyFont="1" applyAlignment="1" applyProtection="1">
      <alignment vertical="center" wrapText="1"/>
    </xf>
    <xf numFmtId="165" fontId="5" fillId="0" borderId="0" xfId="0" applyNumberFormat="1" applyFont="1" applyAlignment="1" applyProtection="1">
      <alignment vertical="center"/>
    </xf>
    <xf numFmtId="0" fontId="5" fillId="0" borderId="0" xfId="0" applyFont="1" applyBorder="1" applyAlignment="1" applyProtection="1">
      <alignment horizontal="left" vertical="center" wrapText="1"/>
    </xf>
    <xf numFmtId="0" fontId="5" fillId="0" borderId="0" xfId="0" applyFont="1" applyFill="1" applyAlignment="1" applyProtection="1">
      <alignment horizontal="center" vertical="center"/>
    </xf>
    <xf numFmtId="0" fontId="0" fillId="0" borderId="0" xfId="0" applyFill="1" applyAlignment="1" applyProtection="1">
      <alignment vertical="center"/>
    </xf>
    <xf numFmtId="0" fontId="5" fillId="0" borderId="1" xfId="0" applyFont="1" applyBorder="1" applyAlignment="1" applyProtection="1">
      <alignment horizontal="left" vertical="center" wrapText="1"/>
    </xf>
    <xf numFmtId="166" fontId="15" fillId="3" borderId="1" xfId="6" applyNumberFormat="1" applyFont="1" applyFill="1" applyBorder="1" applyAlignment="1" applyProtection="1">
      <alignment vertical="center"/>
    </xf>
    <xf numFmtId="164" fontId="15" fillId="3" borderId="1" xfId="6" applyNumberFormat="1" applyFont="1" applyFill="1" applyBorder="1" applyAlignment="1" applyProtection="1">
      <alignment vertical="center"/>
    </xf>
    <xf numFmtId="0" fontId="0" fillId="0" borderId="0" xfId="0" applyProtection="1"/>
    <xf numFmtId="0" fontId="5" fillId="0" borderId="4" xfId="8" applyBorder="1" applyAlignment="1" applyProtection="1">
      <alignment vertical="center"/>
    </xf>
    <xf numFmtId="0" fontId="5" fillId="0" borderId="0" xfId="8" applyBorder="1" applyAlignment="1" applyProtection="1">
      <alignment vertical="center"/>
    </xf>
    <xf numFmtId="0" fontId="5" fillId="0" borderId="5" xfId="8" applyBorder="1" applyAlignment="1" applyProtection="1">
      <alignment vertical="center"/>
    </xf>
    <xf numFmtId="0" fontId="14"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5" fillId="5" borderId="0" xfId="0" applyFont="1" applyFill="1" applyAlignment="1" applyProtection="1">
      <alignment vertical="center" wrapText="1"/>
    </xf>
    <xf numFmtId="0" fontId="5" fillId="0" borderId="0" xfId="0" applyFont="1" applyFill="1" applyAlignment="1" applyProtection="1">
      <alignment vertical="center" wrapText="1"/>
    </xf>
    <xf numFmtId="0" fontId="5" fillId="3" borderId="0" xfId="0" applyFont="1" applyFill="1" applyAlignment="1" applyProtection="1">
      <alignment vertical="center" wrapText="1"/>
    </xf>
    <xf numFmtId="0" fontId="16" fillId="0" borderId="0" xfId="0" applyFont="1" applyAlignment="1" applyProtection="1">
      <alignment vertical="center"/>
    </xf>
    <xf numFmtId="0" fontId="16" fillId="0" borderId="0" xfId="0" applyFont="1" applyProtection="1"/>
    <xf numFmtId="0" fontId="5" fillId="0" borderId="0" xfId="0" applyFont="1" applyProtection="1"/>
    <xf numFmtId="0" fontId="5" fillId="0" borderId="0" xfId="0" applyFont="1" applyFill="1" applyAlignment="1" applyProtection="1">
      <alignment vertical="center"/>
    </xf>
    <xf numFmtId="0" fontId="9" fillId="0" borderId="0" xfId="0" applyFont="1" applyAlignment="1" applyProtection="1">
      <alignment vertical="top" wrapText="1"/>
    </xf>
    <xf numFmtId="0" fontId="14" fillId="0" borderId="0" xfId="0" applyFont="1" applyProtection="1"/>
    <xf numFmtId="0" fontId="0" fillId="0" borderId="0" xfId="0" applyAlignment="1" applyProtection="1">
      <alignment horizontal="center" vertical="center"/>
    </xf>
    <xf numFmtId="166" fontId="5"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20" fillId="0" borderId="0" xfId="10" applyFont="1" applyProtection="1"/>
    <xf numFmtId="0" fontId="24" fillId="0" borderId="0" xfId="8" applyFont="1" applyFill="1" applyBorder="1" applyAlignment="1" applyProtection="1">
      <alignment vertical="center"/>
    </xf>
    <xf numFmtId="0" fontId="5" fillId="0" borderId="0" xfId="8" applyFill="1" applyBorder="1" applyAlignment="1" applyProtection="1">
      <alignment vertical="center"/>
    </xf>
    <xf numFmtId="0" fontId="24" fillId="0" borderId="4" xfId="8" applyFont="1" applyFill="1" applyBorder="1" applyAlignment="1" applyProtection="1">
      <alignment vertical="center"/>
    </xf>
    <xf numFmtId="0" fontId="5" fillId="0" borderId="4" xfId="8" applyFill="1" applyBorder="1" applyAlignment="1" applyProtection="1">
      <alignment vertical="center"/>
    </xf>
    <xf numFmtId="0" fontId="5" fillId="0" borderId="5" xfId="8" applyFill="1" applyBorder="1" applyAlignment="1" applyProtection="1">
      <alignment vertical="top"/>
    </xf>
    <xf numFmtId="0" fontId="5" fillId="0" borderId="14" xfId="8" applyFill="1" applyBorder="1" applyAlignment="1" applyProtection="1">
      <alignment vertical="top"/>
    </xf>
    <xf numFmtId="0" fontId="5" fillId="0" borderId="15" xfId="8" applyFill="1" applyBorder="1" applyAlignment="1" applyProtection="1">
      <alignment vertical="top"/>
    </xf>
    <xf numFmtId="0" fontId="7" fillId="0" borderId="16" xfId="8" applyFont="1" applyFill="1" applyBorder="1" applyAlignment="1" applyProtection="1">
      <alignment vertical="center"/>
    </xf>
    <xf numFmtId="0" fontId="5" fillId="0" borderId="17" xfId="8" applyFill="1" applyBorder="1" applyAlignment="1" applyProtection="1">
      <alignment vertical="center"/>
    </xf>
    <xf numFmtId="0" fontId="8" fillId="0" borderId="18" xfId="8" applyFont="1" applyFill="1" applyBorder="1" applyAlignment="1" applyProtection="1">
      <alignment horizontal="center" vertical="center"/>
    </xf>
    <xf numFmtId="0" fontId="7" fillId="0" borderId="19" xfId="8" applyFont="1" applyFill="1" applyBorder="1" applyAlignment="1" applyProtection="1">
      <alignment horizontal="center" vertical="center"/>
    </xf>
    <xf numFmtId="0" fontId="10" fillId="0" borderId="20" xfId="8" applyFont="1" applyFill="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Fill="1" applyBorder="1" applyAlignment="1" applyProtection="1">
      <alignment vertical="center"/>
    </xf>
    <xf numFmtId="0" fontId="5" fillId="0" borderId="0" xfId="0" applyFont="1" applyFill="1" applyBorder="1" applyAlignment="1" applyProtection="1">
      <alignment vertical="center" wrapText="1"/>
    </xf>
    <xf numFmtId="9" fontId="5" fillId="3" borderId="1" xfId="11" applyFont="1" applyFill="1" applyBorder="1" applyAlignment="1" applyProtection="1">
      <alignment vertical="center"/>
    </xf>
    <xf numFmtId="167" fontId="15" fillId="3" borderId="1" xfId="6" applyNumberFormat="1" applyFont="1" applyFill="1" applyBorder="1" applyAlignment="1" applyProtection="1">
      <alignment vertical="center"/>
    </xf>
    <xf numFmtId="166" fontId="0" fillId="0" borderId="0" xfId="0" applyNumberFormat="1" applyAlignment="1" applyProtection="1">
      <alignment vertical="center"/>
    </xf>
    <xf numFmtId="164" fontId="0" fillId="0" borderId="1" xfId="0" applyNumberFormat="1" applyBorder="1" applyAlignment="1" applyProtection="1">
      <alignment vertical="center"/>
    </xf>
    <xf numFmtId="0" fontId="5" fillId="0" borderId="0" xfId="9" applyAlignment="1" applyProtection="1">
      <alignment vertical="center"/>
    </xf>
    <xf numFmtId="0" fontId="16" fillId="0" borderId="0" xfId="9" applyFont="1" applyAlignment="1" applyProtection="1">
      <alignment vertical="center"/>
    </xf>
    <xf numFmtId="165" fontId="5" fillId="0" borderId="0" xfId="9" applyNumberFormat="1" applyBorder="1" applyAlignment="1" applyProtection="1">
      <alignment vertical="center"/>
    </xf>
    <xf numFmtId="0" fontId="5" fillId="0" borderId="0" xfId="9" applyFont="1" applyAlignment="1" applyProtection="1">
      <alignment vertical="center"/>
    </xf>
    <xf numFmtId="0" fontId="5" fillId="0" borderId="0" xfId="9" applyBorder="1" applyAlignment="1" applyProtection="1">
      <alignment vertical="center"/>
    </xf>
    <xf numFmtId="165" fontId="5" fillId="0" borderId="0" xfId="9" applyNumberFormat="1" applyAlignment="1" applyProtection="1">
      <alignment vertical="center"/>
    </xf>
    <xf numFmtId="0" fontId="17" fillId="0" borderId="0" xfId="0"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6" fillId="0" borderId="0" xfId="0" applyFont="1" applyProtection="1"/>
    <xf numFmtId="0" fontId="0" fillId="0" borderId="0" xfId="0" applyFill="1" applyBorder="1" applyProtection="1"/>
    <xf numFmtId="0" fontId="27" fillId="0" borderId="1" xfId="0" applyFont="1" applyBorder="1" applyAlignment="1" applyProtection="1">
      <alignment vertical="center"/>
    </xf>
    <xf numFmtId="0" fontId="0" fillId="0" borderId="1" xfId="0" applyBorder="1" applyAlignment="1" applyProtection="1">
      <alignment horizontal="center" vertical="center"/>
    </xf>
    <xf numFmtId="0" fontId="23" fillId="9" borderId="22" xfId="0" applyFont="1" applyFill="1" applyBorder="1" applyAlignment="1" applyProtection="1">
      <alignment horizontal="center" vertical="center"/>
      <protection locked="0"/>
    </xf>
    <xf numFmtId="165" fontId="5" fillId="0" borderId="1" xfId="0" applyNumberFormat="1" applyFont="1" applyBorder="1" applyAlignment="1" applyProtection="1">
      <alignment vertical="center"/>
    </xf>
    <xf numFmtId="164" fontId="0" fillId="0" borderId="0" xfId="7" applyFont="1" applyBorder="1" applyAlignment="1" applyProtection="1">
      <alignment horizontal="left" vertical="center"/>
    </xf>
    <xf numFmtId="0" fontId="5" fillId="0" borderId="0" xfId="9" applyFont="1" applyBorder="1" applyAlignment="1" applyProtection="1">
      <alignment vertical="center"/>
    </xf>
    <xf numFmtId="0" fontId="5" fillId="0" borderId="0" xfId="9" applyFill="1" applyBorder="1" applyAlignment="1" applyProtection="1">
      <alignment vertical="center"/>
    </xf>
    <xf numFmtId="0" fontId="7" fillId="0" borderId="0" xfId="0" applyFont="1" applyProtection="1"/>
    <xf numFmtId="0" fontId="5" fillId="12" borderId="0" xfId="0" applyFont="1" applyFill="1" applyAlignment="1" applyProtection="1">
      <alignment vertical="center" wrapText="1"/>
    </xf>
    <xf numFmtId="166" fontId="0" fillId="0" borderId="0" xfId="6" applyNumberFormat="1" applyFont="1" applyBorder="1" applyAlignment="1" applyProtection="1">
      <alignment vertical="center"/>
    </xf>
    <xf numFmtId="166" fontId="0" fillId="0" borderId="0" xfId="0" applyNumberFormat="1" applyFill="1" applyBorder="1" applyAlignment="1" applyProtection="1">
      <alignment vertical="center"/>
    </xf>
    <xf numFmtId="166" fontId="15" fillId="0" borderId="0" xfId="6" applyNumberFormat="1" applyFont="1" applyFill="1" applyBorder="1" applyAlignment="1" applyProtection="1">
      <alignment vertical="center"/>
    </xf>
    <xf numFmtId="164" fontId="0" fillId="0" borderId="0" xfId="6" applyNumberFormat="1" applyFont="1" applyFill="1" applyBorder="1" applyAlignment="1" applyProtection="1">
      <alignment vertical="center"/>
    </xf>
    <xf numFmtId="0" fontId="5" fillId="14" borderId="1" xfId="9" applyFill="1" applyBorder="1" applyAlignment="1" applyProtection="1">
      <alignmen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49" fontId="5" fillId="5" borderId="1" xfId="0" applyNumberFormat="1" applyFont="1" applyFill="1" applyBorder="1" applyAlignment="1" applyProtection="1">
      <alignment horizontal="center" vertical="center" wrapText="1"/>
      <protection locked="0"/>
    </xf>
    <xf numFmtId="166" fontId="5" fillId="0" borderId="1" xfId="9" applyNumberFormat="1" applyBorder="1" applyAlignment="1" applyProtection="1">
      <alignment vertical="center"/>
    </xf>
    <xf numFmtId="0" fontId="27" fillId="0" borderId="1" xfId="0" applyFont="1" applyBorder="1" applyAlignment="1" applyProtection="1">
      <alignment vertical="center" wrapText="1"/>
    </xf>
    <xf numFmtId="0" fontId="16" fillId="0" borderId="0" xfId="10" applyFont="1" applyFill="1" applyProtection="1"/>
    <xf numFmtId="0" fontId="32" fillId="0" borderId="0" xfId="5" applyFont="1" applyFill="1" applyBorder="1" applyAlignment="1" applyProtection="1"/>
    <xf numFmtId="0" fontId="16" fillId="0" borderId="0" xfId="10" applyFont="1" applyFill="1" applyBorder="1" applyAlignment="1" applyProtection="1">
      <alignment horizontal="left" wrapText="1"/>
    </xf>
    <xf numFmtId="0" fontId="16" fillId="0" borderId="0" xfId="10" applyFont="1" applyFill="1" applyBorder="1" applyAlignment="1" applyProtection="1">
      <alignment horizontal="left" vertical="top"/>
    </xf>
    <xf numFmtId="0" fontId="16" fillId="0" borderId="0" xfId="10" applyFont="1" applyFill="1" applyBorder="1" applyAlignment="1" applyProtection="1">
      <alignment horizontal="left"/>
    </xf>
    <xf numFmtId="0" fontId="7" fillId="0" borderId="0" xfId="10" applyFont="1" applyBorder="1" applyProtection="1"/>
    <xf numFmtId="0" fontId="33" fillId="0" borderId="0" xfId="10" applyFont="1" applyBorder="1" applyAlignment="1" applyProtection="1">
      <alignment horizontal="right"/>
    </xf>
    <xf numFmtId="0" fontId="7" fillId="2" borderId="0" xfId="0" applyFont="1" applyFill="1" applyAlignment="1" applyProtection="1">
      <alignment horizontal="center"/>
      <protection locked="0"/>
    </xf>
    <xf numFmtId="0" fontId="7" fillId="0" borderId="0" xfId="10" applyFont="1" applyFill="1" applyBorder="1" applyAlignment="1" applyProtection="1">
      <alignment horizontal="left" wrapText="1"/>
    </xf>
    <xf numFmtId="0" fontId="7" fillId="0" borderId="0" xfId="10" applyFont="1" applyFill="1" applyBorder="1" applyAlignment="1" applyProtection="1">
      <alignment horizontal="left" vertical="top"/>
    </xf>
    <xf numFmtId="0" fontId="7" fillId="0" borderId="0" xfId="10" applyFont="1" applyFill="1" applyBorder="1" applyAlignment="1" applyProtection="1">
      <alignment horizontal="left"/>
    </xf>
    <xf numFmtId="0" fontId="20" fillId="0" borderId="0" xfId="10" applyFont="1" applyBorder="1" applyProtection="1"/>
    <xf numFmtId="0" fontId="33" fillId="0" borderId="12" xfId="10" applyFont="1" applyBorder="1" applyAlignment="1" applyProtection="1">
      <alignment horizontal="center"/>
    </xf>
    <xf numFmtId="0" fontId="7" fillId="0" borderId="0" xfId="10" applyFont="1" applyFill="1" applyBorder="1" applyProtection="1"/>
    <xf numFmtId="0" fontId="20" fillId="0" borderId="1" xfId="10" applyFont="1" applyFill="1" applyBorder="1" applyAlignment="1" applyProtection="1">
      <alignment horizontal="left" wrapText="1"/>
    </xf>
    <xf numFmtId="0" fontId="20" fillId="0" borderId="0" xfId="10" applyFont="1" applyFill="1" applyBorder="1" applyAlignment="1" applyProtection="1">
      <alignment horizontal="left" vertical="top"/>
    </xf>
    <xf numFmtId="0" fontId="20" fillId="0" borderId="0" xfId="10" applyFont="1" applyFill="1" applyBorder="1" applyAlignment="1" applyProtection="1">
      <alignment horizontal="left"/>
    </xf>
    <xf numFmtId="0" fontId="20" fillId="0" borderId="0" xfId="10" applyFont="1" applyFill="1" applyBorder="1" applyAlignment="1" applyProtection="1">
      <alignment horizontal="left" wrapText="1"/>
    </xf>
    <xf numFmtId="0" fontId="20" fillId="0" borderId="0" xfId="10" applyFont="1" applyFill="1" applyBorder="1" applyProtection="1"/>
    <xf numFmtId="0" fontId="33" fillId="0" borderId="11" xfId="10" applyFont="1" applyBorder="1" applyAlignment="1" applyProtection="1">
      <alignment horizontal="center"/>
    </xf>
    <xf numFmtId="0" fontId="16" fillId="5" borderId="24" xfId="10" applyFont="1" applyFill="1" applyBorder="1" applyAlignment="1" applyProtection="1">
      <alignment horizontal="left" wrapText="1"/>
    </xf>
    <xf numFmtId="0" fontId="20" fillId="0" borderId="23" xfId="10" applyFont="1" applyBorder="1" applyProtection="1"/>
    <xf numFmtId="0" fontId="20" fillId="7" borderId="1" xfId="10" applyFont="1" applyFill="1" applyBorder="1" applyAlignment="1" applyProtection="1">
      <alignment horizontal="left" wrapText="1"/>
    </xf>
    <xf numFmtId="0" fontId="20" fillId="10" borderId="1" xfId="10" applyFont="1" applyFill="1" applyBorder="1" applyAlignment="1" applyProtection="1">
      <alignment horizontal="left" vertical="top"/>
    </xf>
    <xf numFmtId="0" fontId="20" fillId="2" borderId="1" xfId="10" applyFont="1" applyFill="1" applyBorder="1" applyAlignment="1" applyProtection="1">
      <alignment horizontal="left"/>
    </xf>
    <xf numFmtId="0" fontId="20" fillId="6" borderId="1" xfId="10" applyFont="1" applyFill="1" applyBorder="1" applyAlignment="1" applyProtection="1">
      <alignment horizontal="left" wrapText="1"/>
    </xf>
    <xf numFmtId="0" fontId="20" fillId="11" borderId="25" xfId="10" applyFont="1" applyFill="1" applyBorder="1" applyProtection="1"/>
    <xf numFmtId="0" fontId="7" fillId="5" borderId="24" xfId="10" applyFont="1" applyFill="1" applyBorder="1" applyAlignment="1" applyProtection="1">
      <alignment horizontal="left" wrapText="1"/>
    </xf>
    <xf numFmtId="0" fontId="20" fillId="8" borderId="26" xfId="10" applyFont="1" applyFill="1" applyBorder="1" applyProtection="1"/>
    <xf numFmtId="0" fontId="33" fillId="0" borderId="21" xfId="10" applyFont="1" applyBorder="1" applyAlignment="1" applyProtection="1">
      <alignment horizontal="center"/>
    </xf>
    <xf numFmtId="0" fontId="20" fillId="11" borderId="26" xfId="10" applyFont="1" applyFill="1" applyBorder="1" applyProtection="1"/>
    <xf numFmtId="0" fontId="20"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6" fillId="10" borderId="1" xfId="10" applyFont="1" applyFill="1" applyBorder="1" applyAlignment="1" applyProtection="1">
      <alignment horizontal="left" vertical="top" wrapText="1"/>
    </xf>
    <xf numFmtId="0" fontId="16"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4" fillId="0" borderId="0" xfId="0" applyFont="1" applyAlignment="1" applyProtection="1">
      <alignment vertical="center"/>
    </xf>
    <xf numFmtId="0" fontId="4" fillId="0" borderId="0" xfId="9" applyFont="1" applyBorder="1" applyAlignment="1" applyProtection="1">
      <alignment horizontal="left" vertical="center"/>
    </xf>
    <xf numFmtId="0" fontId="4" fillId="0" borderId="0" xfId="9" applyFont="1" applyAlignment="1" applyProtection="1">
      <alignment vertical="center"/>
    </xf>
    <xf numFmtId="9" fontId="4" fillId="3" borderId="1" xfId="11" applyFont="1" applyFill="1" applyBorder="1" applyAlignment="1" applyProtection="1">
      <alignment vertical="center"/>
    </xf>
    <xf numFmtId="14" fontId="4" fillId="0" borderId="0" xfId="0" quotePrefix="1" applyNumberFormat="1" applyFont="1" applyAlignment="1" applyProtection="1">
      <alignment horizontal="right"/>
    </xf>
    <xf numFmtId="164" fontId="4" fillId="5" borderId="1" xfId="6" applyFont="1" applyFill="1" applyBorder="1" applyAlignment="1" applyProtection="1">
      <alignment vertical="center"/>
      <protection locked="0"/>
    </xf>
    <xf numFmtId="49" fontId="4" fillId="5" borderId="1" xfId="0" applyNumberFormat="1" applyFont="1" applyFill="1" applyBorder="1" applyAlignment="1" applyProtection="1">
      <alignment horizontal="lef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166" fontId="4" fillId="5" borderId="1" xfId="12" applyNumberFormat="1" applyFont="1" applyFill="1" applyBorder="1" applyAlignment="1" applyProtection="1">
      <alignment vertical="center"/>
      <protection locked="0"/>
    </xf>
    <xf numFmtId="0" fontId="5" fillId="15" borderId="0" xfId="0" applyFont="1" applyFill="1" applyAlignment="1" applyProtection="1">
      <alignment vertical="center" wrapText="1"/>
    </xf>
    <xf numFmtId="3" fontId="27" fillId="15" borderId="1" xfId="9" applyNumberFormat="1" applyFont="1" applyFill="1" applyBorder="1" applyAlignment="1" applyProtection="1">
      <alignment vertical="center" wrapText="1"/>
    </xf>
    <xf numFmtId="0" fontId="10" fillId="0" borderId="21" xfId="9" applyFont="1" applyBorder="1" applyAlignment="1" applyProtection="1">
      <alignment vertical="center"/>
    </xf>
    <xf numFmtId="0" fontId="10" fillId="0" borderId="23" xfId="9" applyFont="1" applyBorder="1" applyAlignment="1" applyProtection="1">
      <alignment vertical="center"/>
    </xf>
    <xf numFmtId="0" fontId="4" fillId="0" borderId="1" xfId="9" applyFont="1" applyBorder="1" applyAlignment="1" applyProtection="1">
      <alignment horizontal="center" vertical="center"/>
    </xf>
    <xf numFmtId="166" fontId="4" fillId="0" borderId="1" xfId="9" applyNumberFormat="1" applyFont="1" applyBorder="1" applyAlignment="1" applyProtection="1">
      <alignment vertical="center"/>
    </xf>
    <xf numFmtId="166" fontId="4" fillId="12" borderId="1" xfId="7" applyNumberFormat="1" applyFont="1" applyFill="1" applyBorder="1" applyAlignment="1" applyProtection="1">
      <alignment vertical="center"/>
      <protection locked="0"/>
    </xf>
    <xf numFmtId="0" fontId="34" fillId="0" borderId="0" xfId="9" applyFont="1" applyAlignment="1" applyProtection="1">
      <alignment horizontal="right" vertical="center"/>
    </xf>
    <xf numFmtId="166" fontId="4"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10" fillId="0" borderId="1" xfId="9" applyFont="1" applyBorder="1" applyAlignment="1" applyProtection="1">
      <alignment vertical="center"/>
    </xf>
    <xf numFmtId="49" fontId="0" fillId="0" borderId="1" xfId="7" applyNumberFormat="1" applyFont="1" applyBorder="1" applyAlignment="1" applyProtection="1">
      <alignment vertical="center"/>
    </xf>
    <xf numFmtId="0" fontId="4" fillId="0" borderId="0" xfId="9" applyFont="1" applyBorder="1" applyAlignment="1" applyProtection="1">
      <alignment horizontal="left" vertical="center"/>
    </xf>
    <xf numFmtId="0" fontId="5" fillId="0" borderId="9" xfId="9" applyBorder="1" applyAlignment="1" applyProtection="1">
      <alignment vertical="center"/>
    </xf>
    <xf numFmtId="0" fontId="5" fillId="0" borderId="9" xfId="9" applyFont="1" applyBorder="1" applyAlignment="1" applyProtection="1">
      <alignment vertical="center"/>
    </xf>
    <xf numFmtId="0" fontId="4" fillId="0" borderId="0" xfId="9" applyFont="1" applyBorder="1" applyAlignment="1" applyProtection="1">
      <alignment vertical="center"/>
    </xf>
    <xf numFmtId="164" fontId="4" fillId="0" borderId="0" xfId="7" applyFont="1" applyBorder="1" applyAlignment="1" applyProtection="1">
      <alignment horizontal="left" vertical="center"/>
    </xf>
    <xf numFmtId="0" fontId="4" fillId="0" borderId="0" xfId="9" applyFont="1" applyFill="1" applyBorder="1" applyAlignment="1" applyProtection="1">
      <alignment vertical="center"/>
    </xf>
    <xf numFmtId="0" fontId="4" fillId="0" borderId="12" xfId="9" applyFont="1" applyBorder="1" applyAlignment="1" applyProtection="1">
      <alignment vertical="center"/>
    </xf>
    <xf numFmtId="0" fontId="4" fillId="0" borderId="23" xfId="9" applyFont="1" applyBorder="1" applyAlignment="1" applyProtection="1">
      <alignment vertical="center"/>
    </xf>
    <xf numFmtId="0" fontId="4" fillId="0" borderId="1" xfId="9" applyFont="1" applyBorder="1" applyAlignment="1" applyProtection="1">
      <alignment vertical="center"/>
    </xf>
    <xf numFmtId="0" fontId="4" fillId="0" borderId="1" xfId="9" applyFont="1" applyFill="1" applyBorder="1" applyAlignment="1" applyProtection="1">
      <alignment vertical="center"/>
    </xf>
    <xf numFmtId="0" fontId="4" fillId="15" borderId="1" xfId="9" applyFont="1" applyFill="1" applyBorder="1" applyAlignment="1" applyProtection="1">
      <alignment vertical="center"/>
    </xf>
    <xf numFmtId="0" fontId="4" fillId="4" borderId="1" xfId="9" applyFont="1" applyFill="1" applyBorder="1" applyAlignment="1" applyProtection="1">
      <alignment vertical="center"/>
    </xf>
    <xf numFmtId="166" fontId="4" fillId="3" borderId="25" xfId="9" applyNumberFormat="1" applyFont="1" applyFill="1" applyBorder="1" applyAlignment="1" applyProtection="1">
      <alignment vertical="center"/>
    </xf>
    <xf numFmtId="166" fontId="4" fillId="5" borderId="25" xfId="7" applyNumberFormat="1" applyFont="1" applyFill="1" applyBorder="1" applyAlignment="1" applyProtection="1">
      <alignment vertical="center"/>
      <protection locked="0"/>
    </xf>
    <xf numFmtId="166" fontId="4" fillId="5" borderId="16" xfId="7" applyNumberFormat="1" applyFont="1" applyFill="1" applyBorder="1" applyAlignment="1" applyProtection="1">
      <alignment horizontal="center" vertical="center"/>
      <protection locked="0"/>
    </xf>
    <xf numFmtId="166" fontId="4" fillId="3" borderId="1" xfId="9" applyNumberFormat="1" applyFont="1" applyFill="1" applyBorder="1" applyAlignment="1" applyProtection="1">
      <alignment vertical="center"/>
    </xf>
    <xf numFmtId="166" fontId="4" fillId="5" borderId="1" xfId="7" applyNumberFormat="1" applyFont="1" applyFill="1" applyBorder="1" applyAlignment="1" applyProtection="1">
      <alignment vertical="center"/>
      <protection locked="0"/>
    </xf>
    <xf numFmtId="166" fontId="4" fillId="0" borderId="0" xfId="7" applyNumberFormat="1" applyFont="1" applyAlignment="1" applyProtection="1">
      <alignment vertical="center"/>
    </xf>
    <xf numFmtId="49" fontId="4" fillId="0" borderId="0" xfId="9" applyNumberFormat="1" applyFont="1" applyAlignment="1" applyProtection="1">
      <alignment vertical="center"/>
    </xf>
    <xf numFmtId="0" fontId="4" fillId="0" borderId="0" xfId="9" applyFont="1" applyAlignment="1" applyProtection="1">
      <alignment horizontal="right" vertical="center"/>
    </xf>
    <xf numFmtId="9" fontId="4" fillId="0" borderId="7" xfId="11" applyFont="1" applyBorder="1" applyAlignment="1" applyProtection="1">
      <alignment vertical="center"/>
    </xf>
    <xf numFmtId="0" fontId="4" fillId="0" borderId="8" xfId="9" applyFont="1" applyBorder="1" applyAlignment="1" applyProtection="1">
      <alignment vertical="center"/>
    </xf>
    <xf numFmtId="0" fontId="4" fillId="0" borderId="0" xfId="9" applyFont="1" applyBorder="1" applyAlignment="1" applyProtection="1">
      <alignment vertical="center" wrapText="1"/>
    </xf>
    <xf numFmtId="166" fontId="4" fillId="0" borderId="0" xfId="9" applyNumberFormat="1" applyFont="1" applyAlignment="1" applyProtection="1">
      <alignment vertical="center"/>
    </xf>
    <xf numFmtId="166" fontId="4" fillId="0" borderId="1" xfId="9" applyNumberFormat="1" applyFont="1" applyFill="1" applyBorder="1" applyAlignment="1" applyProtection="1">
      <alignment vertical="center"/>
    </xf>
    <xf numFmtId="166" fontId="4" fillId="0" borderId="1" xfId="6" applyNumberFormat="1" applyFont="1" applyBorder="1" applyAlignment="1" applyProtection="1">
      <alignment vertical="center"/>
    </xf>
    <xf numFmtId="9" fontId="4" fillId="0" borderId="1" xfId="11" applyFont="1" applyBorder="1" applyAlignment="1" applyProtection="1">
      <alignment vertical="center"/>
    </xf>
    <xf numFmtId="0" fontId="4" fillId="15" borderId="1" xfId="9" applyFont="1" applyFill="1" applyBorder="1" applyAlignment="1" applyProtection="1">
      <alignment horizontal="center" vertical="center"/>
    </xf>
    <xf numFmtId="3" fontId="27" fillId="15" borderId="1" xfId="9" applyNumberFormat="1" applyFont="1" applyFill="1" applyBorder="1" applyAlignment="1" applyProtection="1">
      <alignment horizontal="center" vertical="center" wrapText="1"/>
    </xf>
    <xf numFmtId="3" fontId="27" fillId="12" borderId="1" xfId="9" applyNumberFormat="1" applyFont="1" applyFill="1" applyBorder="1" applyAlignment="1" applyProtection="1">
      <alignment vertical="center" wrapText="1"/>
      <protection locked="0"/>
    </xf>
    <xf numFmtId="0" fontId="4" fillId="15" borderId="0" xfId="9" applyFont="1" applyFill="1" applyAlignment="1" applyProtection="1">
      <alignment vertical="center"/>
    </xf>
    <xf numFmtId="166" fontId="4" fillId="15" borderId="16" xfId="9" applyNumberFormat="1" applyFont="1" applyFill="1" applyBorder="1" applyAlignment="1" applyProtection="1">
      <alignment horizontal="center" vertical="center"/>
    </xf>
    <xf numFmtId="166" fontId="5"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6" fontId="4" fillId="15" borderId="11" xfId="9" applyNumberFormat="1" applyFont="1" applyFill="1" applyBorder="1" applyAlignment="1" applyProtection="1">
      <alignment horizontal="right" vertical="center"/>
    </xf>
    <xf numFmtId="166" fontId="37" fillId="0" borderId="6" xfId="9" applyNumberFormat="1" applyFont="1" applyFill="1" applyBorder="1" applyAlignment="1" applyProtection="1">
      <alignment horizontal="right" vertical="center"/>
    </xf>
    <xf numFmtId="166" fontId="37" fillId="0" borderId="1" xfId="9" applyNumberFormat="1" applyFont="1" applyFill="1" applyBorder="1" applyAlignment="1" applyProtection="1">
      <alignment horizontal="right" vertical="center"/>
    </xf>
    <xf numFmtId="166" fontId="37" fillId="0" borderId="21" xfId="9" applyNumberFormat="1" applyFont="1" applyFill="1" applyBorder="1" applyAlignment="1" applyProtection="1">
      <alignment horizontal="right" vertical="center"/>
    </xf>
    <xf numFmtId="0" fontId="4" fillId="15" borderId="1" xfId="9" applyFont="1" applyFill="1" applyBorder="1" applyAlignment="1" applyProtection="1">
      <alignment horizontal="center" vertical="center" textRotation="90" wrapText="1"/>
    </xf>
    <xf numFmtId="0" fontId="4" fillId="15" borderId="0" xfId="9" applyFont="1" applyFill="1" applyAlignment="1" applyProtection="1">
      <alignment vertical="center" wrapText="1"/>
    </xf>
    <xf numFmtId="3" fontId="27" fillId="15" borderId="1" xfId="9" applyNumberFormat="1" applyFont="1" applyFill="1" applyBorder="1" applyAlignment="1" applyProtection="1">
      <alignment horizontal="right" vertical="center" wrapText="1"/>
    </xf>
    <xf numFmtId="169" fontId="27" fillId="15" borderId="1" xfId="9" applyNumberFormat="1" applyFont="1" applyFill="1" applyBorder="1" applyAlignment="1" applyProtection="1">
      <alignment horizontal="right" vertical="center" wrapText="1"/>
    </xf>
    <xf numFmtId="9" fontId="4" fillId="15" borderId="1" xfId="11" applyFont="1" applyFill="1" applyBorder="1" applyAlignment="1" applyProtection="1">
      <alignment vertical="center"/>
    </xf>
    <xf numFmtId="9" fontId="4" fillId="0" borderId="0" xfId="11" applyFont="1" applyAlignment="1" applyProtection="1">
      <alignment vertical="center"/>
    </xf>
    <xf numFmtId="166" fontId="9" fillId="18" borderId="1" xfId="9" applyNumberFormat="1" applyFont="1" applyFill="1" applyBorder="1" applyAlignment="1" applyProtection="1">
      <alignment vertical="center"/>
    </xf>
    <xf numFmtId="166" fontId="4" fillId="0" borderId="0" xfId="6" applyNumberFormat="1" applyFont="1" applyBorder="1" applyAlignment="1" applyProtection="1">
      <alignment vertical="center"/>
    </xf>
    <xf numFmtId="0" fontId="36" fillId="15" borderId="1" xfId="9" applyFont="1" applyFill="1" applyBorder="1" applyAlignment="1" applyProtection="1">
      <alignment horizontal="center" vertical="center" wrapText="1"/>
    </xf>
    <xf numFmtId="0" fontId="4" fillId="15" borderId="0" xfId="9" applyFont="1" applyFill="1" applyAlignment="1" applyProtection="1">
      <alignment horizontal="right" vertical="center"/>
    </xf>
    <xf numFmtId="0" fontId="4" fillId="15" borderId="21" xfId="9" applyFont="1" applyFill="1" applyBorder="1" applyAlignment="1" applyProtection="1">
      <alignment vertical="center"/>
    </xf>
    <xf numFmtId="0" fontId="4" fillId="15" borderId="0" xfId="9" applyFont="1" applyFill="1" applyBorder="1" applyAlignment="1" applyProtection="1">
      <alignment vertical="center" wrapText="1"/>
    </xf>
    <xf numFmtId="0" fontId="4" fillId="15" borderId="0" xfId="9" applyFont="1" applyFill="1" applyBorder="1" applyAlignment="1" applyProtection="1">
      <alignment vertical="center"/>
    </xf>
    <xf numFmtId="0" fontId="10" fillId="15" borderId="21" xfId="9" applyFont="1" applyFill="1" applyBorder="1" applyAlignment="1" applyProtection="1">
      <alignment vertical="center"/>
    </xf>
    <xf numFmtId="0" fontId="4" fillId="15" borderId="12" xfId="9" applyFont="1" applyFill="1" applyBorder="1" applyAlignment="1" applyProtection="1">
      <alignment vertical="center"/>
    </xf>
    <xf numFmtId="165" fontId="0" fillId="3" borderId="1" xfId="0" applyNumberFormat="1" applyFill="1" applyBorder="1" applyAlignment="1" applyProtection="1">
      <alignment vertical="center"/>
    </xf>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8" fillId="0" borderId="3" xfId="0" applyFont="1" applyBorder="1" applyAlignment="1" applyProtection="1">
      <alignment vertical="center"/>
    </xf>
    <xf numFmtId="0" fontId="18" fillId="0" borderId="23" xfId="0" applyFont="1" applyBorder="1" applyAlignment="1" applyProtection="1">
      <alignment horizontal="right" vertical="center"/>
    </xf>
    <xf numFmtId="166" fontId="4" fillId="15" borderId="1" xfId="11" applyNumberFormat="1" applyFont="1" applyFill="1" applyBorder="1" applyAlignment="1" applyProtection="1">
      <alignment vertical="center"/>
    </xf>
    <xf numFmtId="166" fontId="5" fillId="15" borderId="1" xfId="6" applyNumberFormat="1" applyFont="1" applyFill="1" applyBorder="1" applyAlignment="1" applyProtection="1">
      <alignment vertical="center"/>
    </xf>
    <xf numFmtId="0" fontId="4" fillId="15" borderId="21" xfId="0" applyFont="1" applyFill="1" applyBorder="1" applyAlignment="1" applyProtection="1">
      <alignment vertical="center" wrapText="1"/>
    </xf>
    <xf numFmtId="164" fontId="4" fillId="0" borderId="0" xfId="9" applyNumberFormat="1" applyFont="1" applyAlignment="1" applyProtection="1">
      <alignment vertical="center"/>
    </xf>
    <xf numFmtId="0" fontId="4" fillId="0" borderId="12" xfId="9" applyFont="1" applyBorder="1" applyAlignment="1" applyProtection="1">
      <alignment horizontal="center" vertical="center"/>
    </xf>
    <xf numFmtId="0" fontId="9" fillId="0" borderId="0" xfId="9" applyFont="1" applyAlignment="1" applyProtection="1">
      <alignment vertical="center"/>
    </xf>
    <xf numFmtId="0" fontId="9" fillId="0" borderId="0" xfId="9" applyFont="1" applyBorder="1" applyAlignment="1" applyProtection="1">
      <alignment vertical="center"/>
    </xf>
    <xf numFmtId="9" fontId="4" fillId="18" borderId="1" xfId="11" applyFont="1" applyFill="1" applyBorder="1" applyAlignment="1" applyProtection="1">
      <alignment vertical="center"/>
    </xf>
    <xf numFmtId="166" fontId="4" fillId="3" borderId="21" xfId="9" applyNumberFormat="1" applyFont="1" applyFill="1" applyBorder="1" applyAlignment="1" applyProtection="1">
      <alignment vertical="center"/>
    </xf>
    <xf numFmtId="9" fontId="4" fillId="18" borderId="40" xfId="11" applyFont="1" applyFill="1" applyBorder="1" applyAlignment="1" applyProtection="1">
      <alignment vertical="center"/>
    </xf>
    <xf numFmtId="166" fontId="4"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4" fillId="18" borderId="1" xfId="9" applyFont="1" applyFill="1" applyBorder="1" applyAlignment="1" applyProtection="1">
      <alignment horizontal="center" vertical="center"/>
    </xf>
    <xf numFmtId="3" fontId="27" fillId="18" borderId="1" xfId="9" applyNumberFormat="1" applyFont="1" applyFill="1" applyBorder="1" applyAlignment="1" applyProtection="1">
      <alignment vertical="center" wrapText="1"/>
    </xf>
    <xf numFmtId="0" fontId="4" fillId="18" borderId="25" xfId="9" applyFont="1" applyFill="1" applyBorder="1" applyAlignment="1" applyProtection="1">
      <alignment vertical="center"/>
    </xf>
    <xf numFmtId="0" fontId="4" fillId="18" borderId="26" xfId="9" applyFont="1" applyFill="1" applyBorder="1" applyAlignment="1" applyProtection="1">
      <alignment vertical="center"/>
    </xf>
    <xf numFmtId="0" fontId="4" fillId="18" borderId="0" xfId="9" applyFont="1" applyFill="1" applyAlignment="1" applyProtection="1">
      <alignment vertical="center"/>
    </xf>
    <xf numFmtId="3" fontId="27" fillId="18" borderId="0" xfId="9" applyNumberFormat="1" applyFont="1" applyFill="1" applyBorder="1" applyAlignment="1" applyProtection="1">
      <alignment vertical="center" wrapText="1"/>
    </xf>
    <xf numFmtId="0" fontId="4" fillId="18" borderId="16" xfId="9" applyFont="1" applyFill="1" applyBorder="1" applyAlignment="1" applyProtection="1">
      <alignment vertical="center"/>
    </xf>
    <xf numFmtId="166" fontId="4" fillId="18" borderId="1" xfId="9" applyNumberFormat="1" applyFont="1" applyFill="1" applyBorder="1" applyAlignment="1" applyProtection="1">
      <alignment vertical="center"/>
    </xf>
    <xf numFmtId="0" fontId="4" fillId="19" borderId="0" xfId="9" applyFont="1" applyFill="1" applyAlignment="1" applyProtection="1">
      <alignment vertical="center"/>
    </xf>
    <xf numFmtId="0" fontId="10" fillId="15" borderId="0" xfId="9" quotePrefix="1" applyFont="1" applyFill="1" applyBorder="1" applyAlignment="1" applyProtection="1">
      <alignment vertical="center"/>
    </xf>
    <xf numFmtId="3" fontId="27" fillId="18" borderId="1" xfId="9" applyNumberFormat="1" applyFont="1" applyFill="1" applyBorder="1" applyAlignment="1" applyProtection="1">
      <alignment horizontal="right" vertical="center" wrapText="1"/>
    </xf>
    <xf numFmtId="169" fontId="27" fillId="18" borderId="1" xfId="9" applyNumberFormat="1" applyFont="1" applyFill="1" applyBorder="1" applyAlignment="1" applyProtection="1">
      <alignment horizontal="right" vertical="center" wrapText="1"/>
    </xf>
    <xf numFmtId="166" fontId="4" fillId="18" borderId="1" xfId="6" applyNumberFormat="1" applyFont="1" applyFill="1" applyBorder="1" applyAlignment="1" applyProtection="1">
      <alignment vertical="center"/>
    </xf>
    <xf numFmtId="3" fontId="4" fillId="0" borderId="0" xfId="9" applyNumberFormat="1" applyFont="1" applyAlignment="1" applyProtection="1">
      <alignment vertical="center"/>
    </xf>
    <xf numFmtId="167" fontId="4" fillId="18" borderId="1" xfId="6" applyNumberFormat="1" applyFont="1" applyFill="1" applyBorder="1" applyAlignment="1" applyProtection="1">
      <alignment vertical="center"/>
    </xf>
    <xf numFmtId="165" fontId="4" fillId="18" borderId="1" xfId="9" applyNumberFormat="1" applyFont="1" applyFill="1" applyBorder="1" applyAlignment="1" applyProtection="1">
      <alignment horizontal="right" vertical="center"/>
    </xf>
    <xf numFmtId="165" fontId="4"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6" fontId="15" fillId="3" borderId="21" xfId="6" applyNumberFormat="1" applyFont="1" applyFill="1" applyBorder="1" applyAlignment="1" applyProtection="1">
      <alignment vertical="center"/>
    </xf>
    <xf numFmtId="9" fontId="5" fillId="3" borderId="25" xfId="11" applyFont="1" applyFill="1" applyBorder="1" applyAlignment="1" applyProtection="1">
      <alignment vertical="center"/>
    </xf>
    <xf numFmtId="9" fontId="5" fillId="3" borderId="40" xfId="11" applyFont="1" applyFill="1" applyBorder="1" applyAlignment="1" applyProtection="1">
      <alignment vertical="center"/>
    </xf>
    <xf numFmtId="9" fontId="5" fillId="18" borderId="40" xfId="11" applyFont="1" applyFill="1" applyBorder="1" applyAlignment="1" applyProtection="1">
      <alignment vertical="center"/>
    </xf>
    <xf numFmtId="9" fontId="5"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4" fillId="0" borderId="0" xfId="0" applyFont="1" applyProtection="1"/>
    <xf numFmtId="9" fontId="4" fillId="15" borderId="9" xfId="11" applyFont="1" applyFill="1" applyBorder="1" applyAlignment="1" applyProtection="1">
      <alignment vertical="center"/>
    </xf>
    <xf numFmtId="166" fontId="4" fillId="15" borderId="16" xfId="7" applyNumberFormat="1" applyFont="1" applyFill="1" applyBorder="1" applyAlignment="1" applyProtection="1">
      <alignment horizontal="center" vertical="center"/>
    </xf>
    <xf numFmtId="166" fontId="4" fillId="15" borderId="16" xfId="12" applyNumberFormat="1" applyFont="1" applyFill="1" applyBorder="1" applyAlignment="1" applyProtection="1">
      <alignment horizontal="center" vertical="center"/>
    </xf>
    <xf numFmtId="166" fontId="4" fillId="15" borderId="21" xfId="12" applyNumberFormat="1" applyFont="1" applyFill="1" applyBorder="1" applyAlignment="1" applyProtection="1">
      <alignment horizontal="center" vertical="center"/>
    </xf>
    <xf numFmtId="0" fontId="4" fillId="15" borderId="0" xfId="0" applyFont="1" applyFill="1" applyProtection="1"/>
    <xf numFmtId="4" fontId="27"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6" fillId="0" borderId="0" xfId="0" applyFont="1" applyAlignment="1" applyProtection="1">
      <alignment vertical="center" wrapText="1"/>
    </xf>
    <xf numFmtId="0" fontId="4" fillId="0" borderId="0" xfId="9" applyFont="1" applyAlignment="1" applyProtection="1">
      <alignment vertical="center" wrapText="1"/>
    </xf>
    <xf numFmtId="166" fontId="4" fillId="18" borderId="1" xfId="6" applyNumberFormat="1" applyFont="1" applyFill="1" applyBorder="1" applyAlignment="1" applyProtection="1">
      <alignment horizontal="center" vertical="center"/>
    </xf>
    <xf numFmtId="9" fontId="4" fillId="15" borderId="1" xfId="11" applyFont="1" applyFill="1" applyBorder="1" applyAlignment="1" applyProtection="1">
      <alignment horizontal="right" vertical="center"/>
    </xf>
    <xf numFmtId="0" fontId="4" fillId="0" borderId="1" xfId="9" applyFont="1" applyBorder="1" applyAlignment="1" applyProtection="1">
      <alignment horizontal="center" vertical="center"/>
    </xf>
    <xf numFmtId="0" fontId="4" fillId="15" borderId="1" xfId="9" applyFont="1" applyFill="1" applyBorder="1" applyAlignment="1" applyProtection="1">
      <alignment horizontal="left" vertical="center"/>
    </xf>
    <xf numFmtId="0" fontId="5" fillId="0" borderId="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1" xfId="0" applyFont="1" applyBorder="1" applyAlignment="1" applyProtection="1">
      <alignment horizontal="left" vertical="center" wrapText="1"/>
    </xf>
    <xf numFmtId="0" fontId="10"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4" fillId="0" borderId="12" xfId="9" applyFont="1" applyBorder="1" applyAlignment="1" applyProtection="1">
      <alignment horizontal="left" vertical="center"/>
    </xf>
    <xf numFmtId="3" fontId="4" fillId="12" borderId="1" xfId="9" applyNumberFormat="1" applyFont="1" applyFill="1" applyBorder="1" applyAlignment="1" applyProtection="1">
      <alignment horizontal="left" vertical="center"/>
      <protection locked="0"/>
    </xf>
    <xf numFmtId="3" fontId="27" fillId="12" borderId="1" xfId="9" applyNumberFormat="1" applyFont="1" applyFill="1" applyBorder="1" applyAlignment="1" applyProtection="1">
      <alignment horizontal="left" vertical="center" wrapText="1"/>
      <protection locked="0"/>
    </xf>
    <xf numFmtId="0" fontId="4" fillId="0" borderId="1" xfId="9" applyFont="1" applyBorder="1" applyAlignment="1" applyProtection="1">
      <alignment horizontal="left" vertical="center"/>
    </xf>
    <xf numFmtId="0" fontId="4" fillId="0" borderId="0" xfId="9" applyFont="1" applyAlignment="1" applyProtection="1">
      <alignment horizontal="left" vertical="center"/>
    </xf>
    <xf numFmtId="0" fontId="4" fillId="0" borderId="0" xfId="9" applyFont="1" applyFill="1" applyBorder="1" applyAlignment="1" applyProtection="1">
      <alignment horizontal="left" vertical="center"/>
    </xf>
    <xf numFmtId="0" fontId="5" fillId="0" borderId="0" xfId="9" applyAlignment="1" applyProtection="1">
      <alignment horizontal="left" vertical="center"/>
    </xf>
    <xf numFmtId="0" fontId="9" fillId="15" borderId="1" xfId="9" applyFont="1" applyFill="1" applyBorder="1" applyAlignment="1" applyProtection="1">
      <alignment horizontal="center" vertical="center" wrapText="1"/>
    </xf>
    <xf numFmtId="0" fontId="9" fillId="0" borderId="1" xfId="9" applyFont="1" applyBorder="1" applyAlignment="1" applyProtection="1">
      <alignment horizontal="center" vertical="center" wrapText="1"/>
    </xf>
    <xf numFmtId="0" fontId="36" fillId="15" borderId="3" xfId="9" applyFont="1" applyFill="1" applyBorder="1" applyAlignment="1" applyProtection="1">
      <alignment horizontal="center" vertical="center" wrapText="1"/>
    </xf>
    <xf numFmtId="0" fontId="36" fillId="0" borderId="21" xfId="9" applyFont="1" applyBorder="1" applyAlignment="1" applyProtection="1">
      <alignment horizontal="center" vertical="center" wrapText="1"/>
    </xf>
    <xf numFmtId="0" fontId="4" fillId="0" borderId="21" xfId="9" applyFont="1" applyBorder="1" applyAlignment="1" applyProtection="1">
      <alignment horizontal="center" vertical="center"/>
    </xf>
    <xf numFmtId="165" fontId="5" fillId="0" borderId="1" xfId="0" applyNumberFormat="1" applyFont="1" applyBorder="1" applyAlignment="1" applyProtection="1">
      <alignment vertical="center" wrapText="1"/>
    </xf>
    <xf numFmtId="0" fontId="39" fillId="0" borderId="1" xfId="0" applyFont="1" applyFill="1" applyBorder="1" applyAlignment="1" applyProtection="1">
      <alignment vertical="center" wrapText="1"/>
    </xf>
    <xf numFmtId="0" fontId="9" fillId="0" borderId="0" xfId="0" applyFont="1" applyProtection="1"/>
    <xf numFmtId="14" fontId="5" fillId="5" borderId="1" xfId="0" applyNumberFormat="1" applyFont="1" applyFill="1" applyBorder="1" applyAlignment="1" applyProtection="1">
      <alignment horizontal="right" vertical="center" wrapText="1"/>
      <protection locked="0"/>
    </xf>
    <xf numFmtId="0" fontId="4" fillId="0" borderId="0" xfId="9" quotePrefix="1" applyFont="1" applyAlignment="1" applyProtection="1">
      <alignment vertical="center"/>
    </xf>
    <xf numFmtId="0" fontId="9" fillId="15" borderId="1" xfId="9" applyFont="1" applyFill="1" applyBorder="1" applyAlignment="1" applyProtection="1">
      <alignment vertical="center"/>
    </xf>
    <xf numFmtId="9" fontId="4" fillId="18" borderId="1" xfId="11" applyFont="1" applyFill="1" applyBorder="1" applyAlignment="1" applyProtection="1">
      <alignment horizontal="right" vertical="center"/>
    </xf>
    <xf numFmtId="3" fontId="27" fillId="18" borderId="21" xfId="9" applyNumberFormat="1" applyFont="1" applyFill="1" applyBorder="1" applyAlignment="1" applyProtection="1">
      <alignment vertical="center" wrapText="1"/>
    </xf>
    <xf numFmtId="0" fontId="34" fillId="18" borderId="0" xfId="9" applyFont="1" applyFill="1" applyAlignment="1" applyProtection="1">
      <alignment horizontal="right" vertical="center"/>
    </xf>
    <xf numFmtId="0" fontId="0" fillId="0" borderId="0" xfId="0" quotePrefix="1" applyProtection="1"/>
    <xf numFmtId="0" fontId="16" fillId="10" borderId="1" xfId="10" quotePrefix="1" applyFont="1" applyFill="1" applyBorder="1" applyAlignment="1" applyProtection="1">
      <alignment vertical="top" wrapText="1"/>
    </xf>
    <xf numFmtId="0" fontId="16" fillId="10" borderId="1" xfId="10" applyFont="1" applyFill="1" applyBorder="1" applyAlignment="1" applyProtection="1">
      <alignment vertical="top" wrapText="1"/>
    </xf>
    <xf numFmtId="0" fontId="9" fillId="10" borderId="1" xfId="10" applyFont="1" applyFill="1" applyBorder="1" applyAlignment="1" applyProtection="1">
      <alignment vertical="top" wrapText="1"/>
    </xf>
    <xf numFmtId="0" fontId="16" fillId="10" borderId="1" xfId="10" applyFont="1" applyFill="1" applyBorder="1" applyAlignment="1" applyProtection="1">
      <alignment vertical="top"/>
    </xf>
    <xf numFmtId="0" fontId="7" fillId="0" borderId="0" xfId="0" applyFont="1" applyFill="1" applyProtection="1"/>
    <xf numFmtId="0" fontId="16" fillId="7" borderId="1" xfId="10" applyFont="1" applyFill="1" applyBorder="1" applyAlignment="1" applyProtection="1">
      <alignment horizontal="left"/>
    </xf>
    <xf numFmtId="0" fontId="16" fillId="2" borderId="1" xfId="10" applyFont="1" applyFill="1" applyBorder="1" applyAlignment="1" applyProtection="1">
      <alignment horizontal="left" wrapText="1"/>
    </xf>
    <xf numFmtId="0" fontId="16" fillId="6" borderId="1" xfId="10" applyFont="1" applyFill="1" applyBorder="1" applyAlignment="1" applyProtection="1">
      <alignment horizontal="left" wrapText="1"/>
    </xf>
    <xf numFmtId="0" fontId="16" fillId="7" borderId="1" xfId="10" applyFont="1" applyFill="1" applyBorder="1" applyProtection="1"/>
    <xf numFmtId="0" fontId="16" fillId="2" borderId="1" xfId="10" applyFont="1" applyFill="1" applyBorder="1" applyAlignment="1" applyProtection="1">
      <alignment wrapText="1"/>
    </xf>
    <xf numFmtId="0" fontId="16" fillId="6" borderId="1" xfId="10" applyFont="1" applyFill="1" applyBorder="1" applyAlignment="1" applyProtection="1">
      <alignment wrapText="1"/>
    </xf>
    <xf numFmtId="0" fontId="7" fillId="7" borderId="1" xfId="10" applyFont="1" applyFill="1" applyBorder="1" applyProtection="1"/>
    <xf numFmtId="0" fontId="9" fillId="2" borderId="1" xfId="10" applyFont="1" applyFill="1" applyBorder="1" applyAlignment="1" applyProtection="1">
      <alignment vertical="top" wrapText="1"/>
    </xf>
    <xf numFmtId="0" fontId="9" fillId="6" borderId="1" xfId="10" applyFont="1" applyFill="1" applyBorder="1" applyAlignment="1" applyProtection="1">
      <alignment vertical="top" wrapText="1"/>
    </xf>
    <xf numFmtId="0" fontId="16" fillId="2" borderId="1" xfId="10" quotePrefix="1" applyFont="1" applyFill="1" applyBorder="1" applyAlignment="1" applyProtection="1">
      <alignment wrapText="1"/>
    </xf>
    <xf numFmtId="0" fontId="16" fillId="2" borderId="1" xfId="10" applyFont="1" applyFill="1" applyBorder="1" applyAlignment="1" applyProtection="1"/>
    <xf numFmtId="0" fontId="16" fillId="6" borderId="1" xfId="10" applyFont="1" applyFill="1" applyBorder="1" applyProtection="1"/>
    <xf numFmtId="0" fontId="16" fillId="6" borderId="1" xfId="10" quotePrefix="1" applyFont="1" applyFill="1" applyBorder="1" applyAlignment="1" applyProtection="1">
      <alignment wrapText="1"/>
    </xf>
    <xf numFmtId="0" fontId="9" fillId="0" borderId="1" xfId="9" applyFont="1" applyFill="1" applyBorder="1" applyAlignment="1" applyProtection="1">
      <alignment vertical="center"/>
    </xf>
    <xf numFmtId="0" fontId="40" fillId="0" borderId="0" xfId="0" applyFont="1" applyAlignment="1" applyProtection="1">
      <alignment vertical="center" wrapText="1"/>
    </xf>
    <xf numFmtId="0" fontId="40" fillId="15" borderId="0" xfId="9" applyFont="1" applyFill="1" applyAlignment="1" applyProtection="1">
      <alignment vertical="center" wrapText="1"/>
    </xf>
    <xf numFmtId="0" fontId="41" fillId="10" borderId="1" xfId="10" quotePrefix="1" applyFont="1" applyFill="1" applyBorder="1" applyAlignment="1" applyProtection="1">
      <alignment vertical="top" wrapText="1"/>
    </xf>
    <xf numFmtId="0" fontId="41" fillId="10" borderId="1" xfId="10" applyFont="1" applyFill="1" applyBorder="1" applyAlignment="1" applyProtection="1">
      <alignment vertical="top" wrapText="1"/>
    </xf>
    <xf numFmtId="0" fontId="4" fillId="12" borderId="1" xfId="9" applyFont="1" applyFill="1" applyBorder="1" applyAlignment="1" applyProtection="1">
      <alignment vertical="center" wrapText="1"/>
      <protection locked="0"/>
    </xf>
    <xf numFmtId="0" fontId="16" fillId="10" borderId="0" xfId="10" applyFont="1" applyFill="1" applyBorder="1" applyAlignment="1" applyProtection="1">
      <alignment horizontal="left" vertical="top"/>
    </xf>
    <xf numFmtId="0" fontId="4" fillId="12" borderId="3" xfId="9" applyFont="1" applyFill="1" applyBorder="1" applyAlignment="1" applyProtection="1">
      <alignment horizontal="right" vertical="center" wrapText="1"/>
      <protection locked="0"/>
    </xf>
    <xf numFmtId="166" fontId="4" fillId="18" borderId="1" xfId="14" applyNumberFormat="1" applyFont="1" applyFill="1" applyBorder="1" applyAlignment="1" applyProtection="1">
      <alignment vertical="center"/>
    </xf>
    <xf numFmtId="166" fontId="4" fillId="18" borderId="1" xfId="12" applyNumberFormat="1" applyFont="1" applyFill="1" applyBorder="1" applyAlignment="1" applyProtection="1">
      <alignment vertical="center"/>
    </xf>
    <xf numFmtId="0" fontId="4" fillId="18" borderId="1" xfId="0" applyNumberFormat="1" applyFont="1" applyFill="1" applyBorder="1" applyAlignment="1" applyProtection="1">
      <alignment horizontal="right" vertical="center" wrapText="1"/>
    </xf>
    <xf numFmtId="0" fontId="47" fillId="10" borderId="1" xfId="10" applyFont="1" applyFill="1" applyBorder="1" applyAlignment="1" applyProtection="1">
      <alignment vertical="top"/>
    </xf>
    <xf numFmtId="0" fontId="47" fillId="2" borderId="1" xfId="10" applyFont="1" applyFill="1" applyBorder="1" applyAlignment="1" applyProtection="1">
      <alignment wrapText="1"/>
    </xf>
    <xf numFmtId="0" fontId="47" fillId="6" borderId="1" xfId="10" applyFont="1" applyFill="1" applyBorder="1" applyProtection="1"/>
    <xf numFmtId="0" fontId="42" fillId="0" borderId="0" xfId="16" applyFont="1"/>
    <xf numFmtId="0" fontId="2" fillId="0" borderId="0" xfId="16"/>
    <xf numFmtId="0" fontId="2" fillId="0" borderId="0" xfId="16" applyAlignment="1">
      <alignment wrapText="1"/>
    </xf>
    <xf numFmtId="0" fontId="43" fillId="0" borderId="27" xfId="16" applyFont="1" applyBorder="1"/>
    <xf numFmtId="0" fontId="2" fillId="0" borderId="44" xfId="16" applyBorder="1" applyAlignment="1">
      <alignment horizontal="center"/>
    </xf>
    <xf numFmtId="0" fontId="2" fillId="0" borderId="4" xfId="16" applyBorder="1"/>
    <xf numFmtId="0" fontId="2" fillId="0" borderId="2" xfId="16" applyBorder="1" applyAlignment="1">
      <alignment horizontal="center"/>
    </xf>
    <xf numFmtId="0" fontId="44" fillId="0" borderId="45" xfId="16" applyFont="1" applyFill="1" applyBorder="1" applyAlignment="1" applyProtection="1">
      <alignment vertical="center" wrapText="1"/>
    </xf>
    <xf numFmtId="0" fontId="2" fillId="0" borderId="14" xfId="16" applyBorder="1"/>
    <xf numFmtId="0" fontId="2" fillId="0" borderId="18" xfId="16" applyBorder="1" applyAlignment="1">
      <alignment horizontal="center"/>
    </xf>
    <xf numFmtId="0" fontId="45" fillId="0" borderId="46" xfId="16" applyFont="1" applyFill="1" applyBorder="1" applyAlignment="1" applyProtection="1">
      <alignment vertical="center" wrapText="1"/>
    </xf>
    <xf numFmtId="0" fontId="2" fillId="0" borderId="44" xfId="16" applyFill="1" applyBorder="1" applyAlignment="1">
      <alignment horizontal="center"/>
    </xf>
    <xf numFmtId="0" fontId="45" fillId="0" borderId="49" xfId="16" applyFont="1" applyFill="1" applyBorder="1" applyAlignment="1" applyProtection="1">
      <alignment vertical="center" wrapText="1"/>
    </xf>
    <xf numFmtId="0" fontId="2" fillId="0" borderId="2" xfId="16" applyFont="1" applyFill="1" applyBorder="1" applyAlignment="1">
      <alignment horizontal="center"/>
    </xf>
    <xf numFmtId="0" fontId="2" fillId="0" borderId="2" xfId="16" applyFill="1" applyBorder="1" applyAlignment="1">
      <alignment horizontal="center"/>
    </xf>
    <xf numFmtId="0" fontId="44" fillId="0" borderId="47" xfId="16" applyFont="1" applyFill="1" applyBorder="1" applyAlignment="1" applyProtection="1">
      <alignment vertical="center" wrapText="1"/>
    </xf>
    <xf numFmtId="0" fontId="2" fillId="0" borderId="18" xfId="16" applyFill="1" applyBorder="1" applyAlignment="1">
      <alignment horizontal="center"/>
    </xf>
    <xf numFmtId="0" fontId="2" fillId="17" borderId="2" xfId="16" applyFill="1" applyBorder="1" applyAlignment="1">
      <alignment horizontal="center"/>
    </xf>
    <xf numFmtId="0" fontId="2" fillId="17" borderId="18" xfId="16" applyFill="1" applyBorder="1" applyAlignment="1">
      <alignment horizontal="center"/>
    </xf>
    <xf numFmtId="0" fontId="43" fillId="0" borderId="48" xfId="16" applyFont="1" applyBorder="1"/>
    <xf numFmtId="0" fontId="44" fillId="0" borderId="50" xfId="16" applyFont="1" applyFill="1" applyBorder="1" applyAlignment="1" applyProtection="1">
      <alignment vertical="center" wrapText="1"/>
    </xf>
    <xf numFmtId="0" fontId="44" fillId="0" borderId="3" xfId="16" applyFont="1" applyFill="1" applyBorder="1" applyAlignment="1" applyProtection="1">
      <alignment vertical="center" wrapText="1"/>
    </xf>
    <xf numFmtId="0" fontId="44" fillId="0" borderId="36" xfId="16" applyFont="1" applyFill="1" applyBorder="1" applyAlignment="1" applyProtection="1">
      <alignment vertical="center" wrapText="1"/>
    </xf>
    <xf numFmtId="0" fontId="46" fillId="0" borderId="3" xfId="16" applyFont="1" applyFill="1" applyBorder="1" applyAlignment="1" applyProtection="1">
      <alignment vertical="center" wrapText="1"/>
    </xf>
    <xf numFmtId="0" fontId="44" fillId="0" borderId="51" xfId="16" applyFont="1" applyFill="1" applyBorder="1" applyAlignment="1" applyProtection="1">
      <alignment vertical="center" wrapText="1"/>
    </xf>
    <xf numFmtId="0" fontId="48" fillId="10" borderId="1" xfId="10" quotePrefix="1" applyFont="1" applyFill="1" applyBorder="1" applyAlignment="1" applyProtection="1">
      <alignment vertical="top" wrapText="1"/>
    </xf>
    <xf numFmtId="0" fontId="48" fillId="2" borderId="1" xfId="10" applyFont="1" applyFill="1" applyBorder="1" applyAlignment="1" applyProtection="1">
      <alignment wrapText="1"/>
    </xf>
    <xf numFmtId="0" fontId="48" fillId="6" borderId="1" xfId="10" quotePrefix="1" applyFont="1" applyFill="1" applyBorder="1" applyAlignment="1" applyProtection="1">
      <alignment wrapText="1"/>
    </xf>
    <xf numFmtId="3" fontId="27" fillId="12" borderId="1" xfId="9" applyNumberFormat="1" applyFont="1" applyFill="1" applyBorder="1" applyAlignment="1" applyProtection="1">
      <alignment horizontal="center" vertical="center" wrapText="1"/>
      <protection locked="0"/>
    </xf>
    <xf numFmtId="0" fontId="49" fillId="10" borderId="1" xfId="10" applyFont="1" applyFill="1" applyBorder="1" applyAlignment="1" applyProtection="1">
      <alignment horizontal="left" vertical="top" wrapText="1"/>
    </xf>
    <xf numFmtId="0" fontId="49" fillId="2" borderId="1" xfId="10" applyFont="1" applyFill="1" applyBorder="1" applyAlignment="1" applyProtection="1">
      <alignment wrapText="1"/>
    </xf>
    <xf numFmtId="0" fontId="49" fillId="6" borderId="1" xfId="10" applyFont="1" applyFill="1" applyBorder="1" applyAlignment="1" applyProtection="1">
      <alignment wrapText="1"/>
    </xf>
    <xf numFmtId="0" fontId="16" fillId="5" borderId="0" xfId="10" applyFont="1" applyFill="1" applyAlignment="1" applyProtection="1">
      <alignment horizontal="center"/>
    </xf>
    <xf numFmtId="170" fontId="15" fillId="3" borderId="1" xfId="6" applyNumberFormat="1" applyFont="1" applyFill="1" applyBorder="1" applyAlignment="1" applyProtection="1">
      <alignment vertical="center"/>
    </xf>
    <xf numFmtId="166" fontId="4" fillId="0" borderId="1" xfId="12" applyNumberFormat="1" applyFont="1" applyFill="1" applyBorder="1" applyAlignment="1" applyProtection="1">
      <alignment vertical="center"/>
    </xf>
    <xf numFmtId="0" fontId="0" fillId="17" borderId="0" xfId="0" applyFill="1" applyProtection="1"/>
    <xf numFmtId="2" fontId="2" fillId="0" borderId="0" xfId="16" applyNumberFormat="1"/>
    <xf numFmtId="2" fontId="0" fillId="0" borderId="0" xfId="0" applyNumberFormat="1" applyProtection="1"/>
    <xf numFmtId="0" fontId="4" fillId="0" borderId="0" xfId="9" applyFont="1" applyFill="1" applyAlignment="1" applyProtection="1">
      <alignment vertical="center"/>
    </xf>
    <xf numFmtId="49" fontId="4" fillId="0" borderId="0" xfId="9" applyNumberFormat="1" applyFont="1" applyFill="1" applyAlignment="1" applyProtection="1">
      <alignment vertical="center"/>
    </xf>
    <xf numFmtId="166" fontId="4" fillId="0" borderId="0" xfId="12" applyNumberFormat="1" applyFont="1" applyFill="1" applyBorder="1" applyAlignment="1" applyProtection="1">
      <alignment horizontal="left" vertical="center"/>
    </xf>
    <xf numFmtId="164" fontId="4" fillId="0" borderId="0" xfId="12" applyFont="1" applyFill="1" applyBorder="1" applyAlignment="1" applyProtection="1">
      <alignment horizontal="left" vertical="center"/>
    </xf>
    <xf numFmtId="0" fontId="2" fillId="17" borderId="52" xfId="16" applyFill="1" applyBorder="1" applyAlignment="1">
      <alignment horizontal="center"/>
    </xf>
    <xf numFmtId="0" fontId="44" fillId="0" borderId="4" xfId="16" applyFont="1" applyFill="1" applyBorder="1" applyAlignment="1" applyProtection="1">
      <alignment vertical="center" wrapText="1"/>
    </xf>
    <xf numFmtId="0" fontId="2" fillId="0" borderId="41" xfId="16" applyBorder="1" applyAlignment="1">
      <alignment horizontal="center"/>
    </xf>
    <xf numFmtId="0" fontId="1" fillId="0" borderId="0" xfId="16" applyFont="1"/>
    <xf numFmtId="0" fontId="44" fillId="0" borderId="0" xfId="16" applyFont="1" applyFill="1" applyBorder="1" applyAlignment="1" applyProtection="1">
      <alignment vertical="center" wrapText="1"/>
    </xf>
    <xf numFmtId="0" fontId="44" fillId="0" borderId="53" xfId="16" applyFont="1" applyFill="1" applyBorder="1" applyAlignment="1" applyProtection="1">
      <alignment vertical="center" wrapText="1"/>
    </xf>
    <xf numFmtId="0" fontId="2" fillId="0" borderId="54" xfId="16" applyBorder="1" applyAlignment="1">
      <alignment horizontal="center"/>
    </xf>
    <xf numFmtId="0" fontId="1" fillId="0" borderId="27" xfId="16" applyFont="1" applyBorder="1"/>
    <xf numFmtId="0" fontId="44" fillId="0" borderId="28" xfId="16" applyFont="1" applyFill="1" applyBorder="1" applyAlignment="1" applyProtection="1">
      <alignment vertical="center" wrapText="1"/>
    </xf>
    <xf numFmtId="0" fontId="2" fillId="0" borderId="29" xfId="16" applyBorder="1" applyAlignment="1">
      <alignment horizontal="center"/>
    </xf>
    <xf numFmtId="0" fontId="43" fillId="0" borderId="4" xfId="16" applyFont="1" applyBorder="1"/>
    <xf numFmtId="0" fontId="2" fillId="0" borderId="5" xfId="16" applyBorder="1" applyAlignment="1">
      <alignment horizontal="center"/>
    </xf>
    <xf numFmtId="0" fontId="43" fillId="0" borderId="14" xfId="16" applyFont="1" applyBorder="1"/>
    <xf numFmtId="0" fontId="44" fillId="0" borderId="15" xfId="16" applyFont="1" applyFill="1" applyBorder="1" applyAlignment="1" applyProtection="1">
      <alignment vertical="center" wrapText="1"/>
    </xf>
    <xf numFmtId="0" fontId="2" fillId="0" borderId="37" xfId="16" applyBorder="1" applyAlignment="1">
      <alignment horizontal="center"/>
    </xf>
    <xf numFmtId="14" fontId="4" fillId="15" borderId="1" xfId="0" applyNumberFormat="1" applyFont="1" applyFill="1" applyBorder="1" applyAlignment="1" applyProtection="1">
      <alignment horizontal="right" vertical="center" wrapText="1"/>
    </xf>
    <xf numFmtId="0" fontId="9" fillId="16" borderId="0" xfId="0" applyFont="1" applyFill="1" applyBorder="1" applyAlignment="1" applyProtection="1">
      <alignment horizontal="left" vertical="center" wrapText="1"/>
    </xf>
    <xf numFmtId="0" fontId="9" fillId="16" borderId="5" xfId="0" applyFont="1" applyFill="1" applyBorder="1" applyAlignment="1" applyProtection="1">
      <alignment horizontal="left" vertical="center" wrapText="1"/>
    </xf>
    <xf numFmtId="0" fontId="4" fillId="16" borderId="0" xfId="0" applyFont="1" applyFill="1" applyBorder="1" applyAlignment="1" applyProtection="1">
      <alignment horizontal="left" wrapText="1"/>
    </xf>
    <xf numFmtId="0" fontId="4" fillId="16" borderId="5" xfId="0" applyFont="1" applyFill="1" applyBorder="1" applyAlignment="1" applyProtection="1">
      <alignment horizontal="left" wrapText="1"/>
    </xf>
    <xf numFmtId="0" fontId="4" fillId="16" borderId="0" xfId="0" applyFont="1" applyFill="1" applyBorder="1" applyAlignment="1" applyProtection="1">
      <alignment horizontal="left" vertical="top" wrapText="1"/>
    </xf>
    <xf numFmtId="0" fontId="4" fillId="16" borderId="5" xfId="0" applyFont="1" applyFill="1" applyBorder="1" applyAlignment="1" applyProtection="1">
      <alignment horizontal="left" vertical="top" wrapText="1"/>
    </xf>
    <xf numFmtId="0" fontId="5" fillId="0" borderId="27" xfId="8" applyFill="1" applyBorder="1" applyAlignment="1" applyProtection="1">
      <alignment vertical="center"/>
    </xf>
    <xf numFmtId="0" fontId="5" fillId="0" borderId="28" xfId="8" applyFill="1" applyBorder="1" applyAlignment="1" applyProtection="1">
      <alignment vertical="center"/>
    </xf>
    <xf numFmtId="0" fontId="5" fillId="0" borderId="29" xfId="8" applyFill="1" applyBorder="1" applyAlignment="1" applyProtection="1">
      <alignment vertical="center"/>
    </xf>
    <xf numFmtId="0" fontId="8" fillId="0" borderId="30" xfId="8" applyFont="1" applyFill="1" applyBorder="1" applyAlignment="1" applyProtection="1">
      <alignment horizontal="center" vertical="center" wrapText="1"/>
    </xf>
    <xf numFmtId="0" fontId="8" fillId="0" borderId="31" xfId="8" applyFont="1" applyFill="1" applyBorder="1" applyAlignment="1" applyProtection="1">
      <alignment horizontal="center" vertical="center" wrapText="1"/>
    </xf>
    <xf numFmtId="0" fontId="8" fillId="0" borderId="32" xfId="8" applyFont="1" applyFill="1" applyBorder="1" applyAlignment="1" applyProtection="1">
      <alignment horizontal="center" vertical="center" wrapText="1"/>
    </xf>
    <xf numFmtId="0" fontId="21" fillId="0" borderId="21" xfId="0" applyFont="1" applyBorder="1" applyAlignment="1" applyProtection="1">
      <alignment horizontal="center" vertical="center"/>
    </xf>
    <xf numFmtId="0" fontId="21" fillId="0" borderId="33" xfId="0" applyFont="1" applyBorder="1" applyAlignment="1" applyProtection="1">
      <alignment horizontal="center" vertical="center"/>
    </xf>
    <xf numFmtId="0" fontId="5" fillId="0" borderId="34" xfId="8" applyFont="1" applyFill="1" applyBorder="1" applyAlignment="1" applyProtection="1">
      <alignment horizontal="right" vertical="center" wrapText="1"/>
    </xf>
    <xf numFmtId="0" fontId="5" fillId="0" borderId="35" xfId="8" applyFont="1" applyFill="1" applyBorder="1" applyAlignment="1" applyProtection="1">
      <alignment horizontal="right" vertical="center" wrapText="1"/>
    </xf>
    <xf numFmtId="0" fontId="5" fillId="0" borderId="36" xfId="8" applyFont="1" applyFill="1" applyBorder="1" applyAlignment="1" applyProtection="1">
      <alignment horizontal="right" vertical="center" wrapText="1"/>
    </xf>
    <xf numFmtId="0" fontId="31" fillId="0" borderId="21" xfId="3" applyFont="1" applyFill="1" applyBorder="1" applyAlignment="1" applyProtection="1">
      <alignment horizontal="left" vertical="center"/>
    </xf>
    <xf numFmtId="0" fontId="31" fillId="0" borderId="3" xfId="3" applyFont="1" applyFill="1" applyBorder="1" applyAlignment="1" applyProtection="1">
      <alignment horizontal="left" vertical="center"/>
    </xf>
    <xf numFmtId="0" fontId="24" fillId="0" borderId="0" xfId="8" applyFont="1" applyFill="1" applyBorder="1" applyAlignment="1" applyProtection="1">
      <alignment horizontal="left" vertical="center"/>
    </xf>
    <xf numFmtId="0" fontId="24" fillId="0" borderId="5" xfId="8" applyFont="1" applyFill="1" applyBorder="1" applyAlignment="1" applyProtection="1">
      <alignment horizontal="left" vertical="center"/>
    </xf>
    <xf numFmtId="0" fontId="24" fillId="0" borderId="15" xfId="8" applyFont="1" applyFill="1" applyBorder="1" applyAlignment="1" applyProtection="1">
      <alignment horizontal="left" vertical="top"/>
    </xf>
    <xf numFmtId="0" fontId="24" fillId="0" borderId="37" xfId="8" applyFont="1" applyFill="1" applyBorder="1" applyAlignment="1" applyProtection="1">
      <alignment horizontal="left" vertical="top"/>
    </xf>
    <xf numFmtId="0" fontId="7" fillId="0" borderId="11" xfId="8" applyFont="1" applyFill="1" applyBorder="1" applyAlignment="1" applyProtection="1">
      <alignment horizontal="left" vertical="center"/>
    </xf>
    <xf numFmtId="0" fontId="7" fillId="0" borderId="13" xfId="8" applyFont="1" applyFill="1" applyBorder="1" applyAlignment="1" applyProtection="1">
      <alignment horizontal="left" vertical="center"/>
    </xf>
    <xf numFmtId="0" fontId="14" fillId="0" borderId="0" xfId="0" applyFont="1" applyAlignment="1" applyProtection="1">
      <alignment horizontal="left" vertical="center"/>
    </xf>
    <xf numFmtId="0" fontId="13" fillId="8" borderId="14" xfId="8" applyFont="1" applyFill="1" applyBorder="1" applyAlignment="1" applyProtection="1">
      <alignment horizontal="center" vertical="center"/>
    </xf>
    <xf numFmtId="0" fontId="13" fillId="8" borderId="15" xfId="8" applyFont="1" applyFill="1" applyBorder="1" applyAlignment="1" applyProtection="1">
      <alignment horizontal="center" vertical="center"/>
    </xf>
    <xf numFmtId="0" fontId="13" fillId="8" borderId="37" xfId="8" applyFont="1" applyFill="1" applyBorder="1" applyAlignment="1" applyProtection="1">
      <alignment horizontal="center" vertical="center"/>
    </xf>
    <xf numFmtId="0" fontId="4" fillId="0" borderId="0" xfId="0" applyFont="1" applyAlignment="1" applyProtection="1">
      <alignment horizontal="right"/>
    </xf>
    <xf numFmtId="0" fontId="5" fillId="0" borderId="0" xfId="0" applyFont="1" applyAlignment="1" applyProtection="1">
      <alignment horizontal="right"/>
    </xf>
    <xf numFmtId="0" fontId="9" fillId="0" borderId="0" xfId="0" applyFont="1" applyAlignment="1" applyProtection="1">
      <alignment horizontal="left" vertical="center"/>
    </xf>
    <xf numFmtId="0" fontId="5" fillId="0" borderId="0" xfId="0" applyFont="1" applyAlignment="1" applyProtection="1">
      <alignment horizontal="left" vertical="center" wrapText="1"/>
    </xf>
    <xf numFmtId="0" fontId="5" fillId="0" borderId="0" xfId="0" applyFont="1" applyAlignment="1" applyProtection="1">
      <alignment horizontal="left"/>
    </xf>
    <xf numFmtId="0" fontId="5" fillId="8" borderId="0" xfId="0" applyFont="1" applyFill="1" applyAlignment="1" applyProtection="1">
      <alignment horizontal="left" vertical="center" wrapText="1"/>
    </xf>
    <xf numFmtId="0" fontId="5" fillId="8" borderId="0" xfId="8" applyFont="1" applyFill="1" applyBorder="1" applyAlignment="1" applyProtection="1">
      <alignment horizontal="left" vertical="center" wrapText="1"/>
    </xf>
    <xf numFmtId="0" fontId="5" fillId="8" borderId="0" xfId="8" applyFont="1" applyFill="1" applyBorder="1" applyAlignment="1" applyProtection="1">
      <alignment horizontal="left" vertical="center"/>
    </xf>
    <xf numFmtId="0" fontId="5" fillId="0" borderId="0" xfId="0" applyFont="1" applyFill="1" applyAlignment="1" applyProtection="1">
      <alignment horizontal="left" vertical="center" wrapText="1"/>
    </xf>
    <xf numFmtId="0" fontId="0" fillId="0" borderId="0" xfId="0" applyAlignment="1" applyProtection="1">
      <alignment horizontal="left" vertical="center"/>
    </xf>
    <xf numFmtId="0" fontId="25" fillId="0" borderId="0" xfId="0" applyFont="1" applyAlignment="1" applyProtection="1">
      <alignment horizontal="center" vertical="center"/>
    </xf>
    <xf numFmtId="0" fontId="17" fillId="0" borderId="21" xfId="0" applyFont="1" applyFill="1" applyBorder="1" applyAlignment="1" applyProtection="1">
      <alignment horizontal="left" vertical="center"/>
    </xf>
    <xf numFmtId="0" fontId="17" fillId="0" borderId="23"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25" fillId="0" borderId="0" xfId="0" applyNumberFormat="1" applyFont="1" applyAlignment="1" applyProtection="1">
      <alignment horizontal="center" vertical="center" wrapText="1"/>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5" fillId="0" borderId="0" xfId="0" applyFont="1" applyAlignment="1" applyProtection="1">
      <alignment horizontal="left" vertical="center"/>
    </xf>
    <xf numFmtId="0" fontId="19" fillId="0" borderId="0" xfId="0" applyFont="1" applyAlignment="1" applyProtection="1">
      <alignment horizontal="center" vertical="center" wrapText="1"/>
    </xf>
    <xf numFmtId="49" fontId="25" fillId="0" borderId="0" xfId="0" applyNumberFormat="1" applyFont="1" applyAlignment="1" applyProtection="1">
      <alignment horizontal="center" vertical="center"/>
    </xf>
    <xf numFmtId="0" fontId="5"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5" fillId="0" borderId="1" xfId="0" applyFont="1" applyBorder="1" applyAlignment="1" applyProtection="1">
      <alignment horizontal="left" vertical="center"/>
    </xf>
    <xf numFmtId="0" fontId="5" fillId="0" borderId="0" xfId="0" applyFont="1" applyFill="1" applyBorder="1" applyAlignment="1" applyProtection="1">
      <alignment horizontal="left" vertical="center"/>
    </xf>
    <xf numFmtId="49" fontId="5" fillId="0" borderId="21" xfId="0" applyNumberFormat="1"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18" fillId="0" borderId="21" xfId="0" applyFont="1" applyBorder="1" applyAlignment="1" applyProtection="1">
      <alignment horizontal="left" vertical="center"/>
    </xf>
    <xf numFmtId="0" fontId="18" fillId="0" borderId="23" xfId="0" applyFont="1" applyBorder="1" applyAlignment="1" applyProtection="1">
      <alignment horizontal="left" vertical="center"/>
    </xf>
    <xf numFmtId="0" fontId="18" fillId="0" borderId="7" xfId="0" applyFont="1" applyBorder="1" applyAlignment="1" applyProtection="1">
      <alignment horizontal="left" vertical="center"/>
    </xf>
    <xf numFmtId="0" fontId="18" fillId="0" borderId="3" xfId="0" applyFont="1" applyBorder="1" applyAlignment="1" applyProtection="1">
      <alignment horizontal="left" vertical="center"/>
    </xf>
    <xf numFmtId="0" fontId="39" fillId="0" borderId="21" xfId="0" applyFont="1" applyFill="1" applyBorder="1" applyAlignment="1" applyProtection="1">
      <alignment horizontal="left" vertical="center"/>
    </xf>
    <xf numFmtId="0" fontId="39" fillId="0" borderId="23" xfId="0" applyFont="1" applyFill="1" applyBorder="1" applyAlignment="1" applyProtection="1">
      <alignment horizontal="left" vertical="center"/>
    </xf>
    <xf numFmtId="0" fontId="39" fillId="0" borderId="3" xfId="0" applyFont="1" applyFill="1" applyBorder="1" applyAlignment="1" applyProtection="1">
      <alignment horizontal="left" vertical="center"/>
    </xf>
    <xf numFmtId="9" fontId="5" fillId="3" borderId="38" xfId="11" applyFont="1" applyFill="1" applyBorder="1" applyAlignment="1" applyProtection="1">
      <alignment horizontal="right" vertical="center"/>
    </xf>
    <xf numFmtId="9" fontId="5" fillId="3" borderId="39" xfId="11" applyFont="1" applyFill="1" applyBorder="1" applyAlignment="1" applyProtection="1">
      <alignment horizontal="right" vertical="center"/>
    </xf>
    <xf numFmtId="0" fontId="5" fillId="0" borderId="25"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166" fontId="5" fillId="15" borderId="25" xfId="6" applyNumberFormat="1" applyFont="1" applyFill="1" applyBorder="1" applyAlignment="1" applyProtection="1">
      <alignment horizontal="center" vertical="center"/>
    </xf>
    <xf numFmtId="166" fontId="5"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4" fillId="18" borderId="21" xfId="0" applyFont="1" applyFill="1" applyBorder="1" applyAlignment="1" applyProtection="1">
      <alignment horizontal="left" vertical="center" wrapText="1"/>
    </xf>
    <xf numFmtId="0" fontId="4" fillId="18" borderId="23" xfId="0" applyFont="1" applyFill="1" applyBorder="1" applyAlignment="1" applyProtection="1">
      <alignment horizontal="left" vertical="center" wrapText="1"/>
    </xf>
    <xf numFmtId="0" fontId="4" fillId="18" borderId="3" xfId="0" applyFont="1" applyFill="1" applyBorder="1" applyAlignment="1" applyProtection="1">
      <alignment horizontal="left" vertical="center" wrapText="1"/>
    </xf>
    <xf numFmtId="0" fontId="5"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3" xfId="0" applyFont="1" applyBorder="1" applyAlignment="1" applyProtection="1">
      <alignment horizontal="center" vertical="center"/>
    </xf>
    <xf numFmtId="0" fontId="7" fillId="0" borderId="21" xfId="0" applyFont="1" applyBorder="1" applyAlignment="1" applyProtection="1">
      <alignment horizontal="right" vertical="center"/>
    </xf>
    <xf numFmtId="0" fontId="7" fillId="0" borderId="23" xfId="0" applyFont="1" applyBorder="1" applyAlignment="1" applyProtection="1">
      <alignment horizontal="right" vertical="center"/>
    </xf>
    <xf numFmtId="0" fontId="0" fillId="0" borderId="0" xfId="0" applyProtection="1"/>
    <xf numFmtId="164" fontId="0" fillId="0" borderId="21" xfId="6" applyFont="1" applyBorder="1" applyAlignment="1" applyProtection="1">
      <alignment horizontal="left" vertical="center"/>
    </xf>
    <xf numFmtId="164" fontId="0" fillId="0" borderId="23" xfId="6"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3" xfId="0" applyFont="1" applyBorder="1" applyAlignment="1" applyProtection="1">
      <alignment horizontal="left" vertical="center"/>
    </xf>
    <xf numFmtId="164" fontId="0" fillId="0" borderId="3" xfId="6" applyFont="1" applyBorder="1" applyAlignment="1" applyProtection="1">
      <alignment horizontal="left" vertical="center"/>
    </xf>
    <xf numFmtId="0" fontId="4" fillId="13" borderId="21" xfId="0" applyNumberFormat="1" applyFont="1" applyFill="1" applyBorder="1" applyAlignment="1" applyProtection="1">
      <alignment horizontal="left" vertical="top" wrapText="1"/>
      <protection locked="0"/>
    </xf>
    <xf numFmtId="0" fontId="5" fillId="13" borderId="23" xfId="0" applyNumberFormat="1" applyFont="1" applyFill="1" applyBorder="1" applyAlignment="1" applyProtection="1">
      <alignment horizontal="left" vertical="top" wrapText="1"/>
      <protection locked="0"/>
    </xf>
    <xf numFmtId="0" fontId="5" fillId="13" borderId="3" xfId="0" applyNumberFormat="1" applyFont="1" applyFill="1" applyBorder="1" applyAlignment="1" applyProtection="1">
      <alignment horizontal="left" vertical="top" wrapText="1"/>
      <protection locked="0"/>
    </xf>
    <xf numFmtId="0" fontId="4" fillId="5" borderId="21" xfId="0" applyNumberFormat="1" applyFont="1" applyFill="1" applyBorder="1" applyAlignment="1" applyProtection="1">
      <alignment horizontal="left" vertical="center" wrapText="1"/>
      <protection locked="0"/>
    </xf>
    <xf numFmtId="0" fontId="5" fillId="5" borderId="23" xfId="0" applyNumberFormat="1" applyFont="1" applyFill="1" applyBorder="1" applyAlignment="1" applyProtection="1">
      <alignment horizontal="left" vertical="center" wrapText="1"/>
      <protection locked="0"/>
    </xf>
    <xf numFmtId="0" fontId="5" fillId="5" borderId="3" xfId="0" applyNumberFormat="1" applyFont="1" applyFill="1" applyBorder="1" applyAlignment="1" applyProtection="1">
      <alignment horizontal="left" vertical="center" wrapText="1"/>
      <protection locked="0"/>
    </xf>
    <xf numFmtId="0" fontId="4" fillId="13" borderId="1" xfId="0" applyNumberFormat="1" applyFont="1" applyFill="1" applyBorder="1" applyAlignment="1" applyProtection="1">
      <alignment horizontal="left" vertical="center" wrapText="1"/>
      <protection locked="0"/>
    </xf>
    <xf numFmtId="0" fontId="4" fillId="12" borderId="1" xfId="0" applyNumberFormat="1" applyFont="1" applyFill="1" applyBorder="1" applyAlignment="1" applyProtection="1">
      <alignment horizontal="left" vertical="center" wrapText="1"/>
      <protection locked="0"/>
    </xf>
    <xf numFmtId="0" fontId="7" fillId="0" borderId="3" xfId="0" applyFont="1" applyBorder="1" applyAlignment="1" applyProtection="1">
      <alignment horizontal="right" vertical="center"/>
    </xf>
    <xf numFmtId="0" fontId="5"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5" fillId="8" borderId="0" xfId="0" applyFont="1" applyFill="1" applyBorder="1" applyAlignment="1" applyProtection="1">
      <alignment horizontal="left" vertical="center"/>
    </xf>
    <xf numFmtId="49" fontId="11" fillId="5" borderId="1" xfId="3" applyNumberFormat="1" applyFill="1" applyBorder="1" applyAlignment="1" applyProtection="1">
      <alignment horizontal="left" vertical="center"/>
      <protection locked="0"/>
    </xf>
    <xf numFmtId="49" fontId="4" fillId="13" borderId="1" xfId="0" applyNumberFormat="1" applyFont="1" applyFill="1" applyBorder="1" applyAlignment="1" applyProtection="1">
      <alignment horizontal="left" vertical="center"/>
      <protection locked="0"/>
    </xf>
    <xf numFmtId="49" fontId="11"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4" fillId="5" borderId="21" xfId="0" applyNumberFormat="1" applyFont="1" applyFill="1" applyBorder="1" applyAlignment="1" applyProtection="1">
      <alignment horizontal="left" vertical="center"/>
      <protection locked="0"/>
    </xf>
    <xf numFmtId="49" fontId="4" fillId="5" borderId="23" xfId="0" applyNumberFormat="1" applyFont="1" applyFill="1" applyBorder="1" applyAlignment="1" applyProtection="1">
      <alignment horizontal="left" vertical="center"/>
      <protection locked="0"/>
    </xf>
    <xf numFmtId="49" fontId="4" fillId="5" borderId="3" xfId="0" applyNumberFormat="1" applyFont="1" applyFill="1" applyBorder="1" applyAlignment="1" applyProtection="1">
      <alignment horizontal="left" vertical="center"/>
      <protection locked="0"/>
    </xf>
    <xf numFmtId="49" fontId="11" fillId="5" borderId="23" xfId="3" applyNumberFormat="1" applyFont="1" applyFill="1" applyBorder="1" applyAlignment="1" applyProtection="1">
      <alignment horizontal="left" vertical="center"/>
      <protection locked="0"/>
    </xf>
    <xf numFmtId="49" fontId="11" fillId="5" borderId="3" xfId="3" applyNumberFormat="1" applyFont="1" applyFill="1" applyBorder="1" applyAlignment="1" applyProtection="1">
      <alignment horizontal="left" vertical="center"/>
      <protection locked="0"/>
    </xf>
    <xf numFmtId="0" fontId="0" fillId="8" borderId="0" xfId="0" applyFill="1" applyAlignment="1" applyProtection="1">
      <alignment horizontal="left" vertical="center" wrapText="1"/>
    </xf>
    <xf numFmtId="49" fontId="4" fillId="13" borderId="21" xfId="6" applyNumberFormat="1" applyFont="1" applyFill="1" applyBorder="1" applyAlignment="1" applyProtection="1">
      <alignment horizontal="left" vertical="center" wrapText="1"/>
      <protection locked="0"/>
    </xf>
    <xf numFmtId="49" fontId="4" fillId="13" borderId="23" xfId="6" applyNumberFormat="1" applyFont="1" applyFill="1" applyBorder="1" applyAlignment="1" applyProtection="1">
      <alignment horizontal="left" vertical="center" wrapText="1"/>
      <protection locked="0"/>
    </xf>
    <xf numFmtId="49" fontId="4" fillId="13" borderId="3" xfId="6" applyNumberFormat="1" applyFont="1" applyFill="1" applyBorder="1" applyAlignment="1" applyProtection="1">
      <alignment horizontal="left" vertical="center" wrapText="1"/>
      <protection locked="0"/>
    </xf>
    <xf numFmtId="49" fontId="4"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0" fillId="5" borderId="1" xfId="0" applyNumberFormat="1" applyFill="1" applyBorder="1" applyAlignment="1" applyProtection="1">
      <alignment horizontal="left" vertical="center"/>
      <protection locked="0"/>
    </xf>
    <xf numFmtId="49" fontId="29" fillId="5" borderId="1" xfId="6" applyNumberFormat="1" applyFont="1" applyFill="1" applyBorder="1" applyAlignment="1" applyProtection="1">
      <alignment horizontal="left" vertical="center"/>
      <protection locked="0"/>
    </xf>
    <xf numFmtId="9" fontId="4" fillId="15" borderId="25" xfId="11" applyFont="1" applyFill="1" applyBorder="1" applyAlignment="1" applyProtection="1">
      <alignment horizontal="center" vertical="center"/>
    </xf>
    <xf numFmtId="9" fontId="4" fillId="15" borderId="26" xfId="11" applyFont="1" applyFill="1" applyBorder="1" applyAlignment="1" applyProtection="1">
      <alignment horizontal="center" vertical="center"/>
    </xf>
    <xf numFmtId="9" fontId="4" fillId="18" borderId="1" xfId="11" applyFont="1" applyFill="1" applyBorder="1" applyAlignment="1" applyProtection="1">
      <alignment horizontal="center" vertical="center"/>
    </xf>
    <xf numFmtId="0" fontId="4" fillId="15" borderId="9" xfId="9" applyFont="1" applyFill="1" applyBorder="1" applyAlignment="1" applyProtection="1">
      <alignment horizontal="left" wrapText="1"/>
    </xf>
    <xf numFmtId="0" fontId="50" fillId="15" borderId="9" xfId="9" applyFont="1" applyFill="1" applyBorder="1" applyAlignment="1" applyProtection="1">
      <alignment vertical="top" wrapText="1"/>
    </xf>
    <xf numFmtId="0" fontId="9" fillId="15" borderId="21" xfId="9" applyFont="1" applyFill="1" applyBorder="1" applyAlignment="1" applyProtection="1">
      <alignment horizontal="center" vertical="center" wrapText="1"/>
    </xf>
    <xf numFmtId="0" fontId="9" fillId="15" borderId="23" xfId="9" applyFont="1" applyFill="1" applyBorder="1" applyAlignment="1" applyProtection="1">
      <alignment horizontal="center" vertical="center" wrapText="1"/>
    </xf>
    <xf numFmtId="0" fontId="9" fillId="15" borderId="3" xfId="9" applyFont="1" applyFill="1" applyBorder="1" applyAlignment="1" applyProtection="1">
      <alignment horizontal="center" vertical="center" wrapText="1"/>
    </xf>
    <xf numFmtId="0" fontId="4" fillId="15" borderId="0" xfId="9" applyFont="1" applyFill="1" applyBorder="1" applyAlignment="1" applyProtection="1">
      <alignment horizontal="left" vertical="top" wrapText="1"/>
    </xf>
    <xf numFmtId="0" fontId="4" fillId="15" borderId="21" xfId="9" applyFont="1" applyFill="1" applyBorder="1" applyAlignment="1" applyProtection="1">
      <alignment horizontal="center" vertical="center" wrapText="1"/>
    </xf>
    <xf numFmtId="0" fontId="4" fillId="15" borderId="23" xfId="9" applyFont="1" applyFill="1" applyBorder="1" applyAlignment="1" applyProtection="1">
      <alignment horizontal="center" vertical="center" wrapText="1"/>
    </xf>
    <xf numFmtId="0" fontId="4" fillId="15" borderId="3" xfId="9" applyFont="1" applyFill="1" applyBorder="1" applyAlignment="1" applyProtection="1">
      <alignment horizontal="center" vertical="center" wrapText="1"/>
    </xf>
    <xf numFmtId="49" fontId="4" fillId="5" borderId="21" xfId="7" applyNumberFormat="1" applyFont="1" applyFill="1" applyBorder="1" applyAlignment="1" applyProtection="1">
      <alignment horizontal="left" vertical="top" wrapText="1"/>
      <protection locked="0"/>
    </xf>
    <xf numFmtId="49" fontId="4" fillId="5" borderId="23" xfId="7" applyNumberFormat="1" applyFont="1" applyFill="1" applyBorder="1" applyAlignment="1" applyProtection="1">
      <alignment horizontal="left" vertical="top" wrapText="1"/>
      <protection locked="0"/>
    </xf>
    <xf numFmtId="49" fontId="4" fillId="5" borderId="3" xfId="7" applyNumberFormat="1" applyFont="1" applyFill="1" applyBorder="1" applyAlignment="1" applyProtection="1">
      <alignment horizontal="left" vertical="top" wrapText="1"/>
      <protection locked="0"/>
    </xf>
    <xf numFmtId="0" fontId="4" fillId="21" borderId="0" xfId="9" applyFont="1" applyFill="1" applyAlignment="1" applyProtection="1">
      <alignment horizontal="left" vertical="center" wrapText="1"/>
    </xf>
    <xf numFmtId="0" fontId="4" fillId="15" borderId="0" xfId="9" applyFont="1" applyFill="1" applyAlignment="1" applyProtection="1">
      <alignment horizontal="left" vertical="top" wrapText="1"/>
    </xf>
    <xf numFmtId="0" fontId="4" fillId="15" borderId="21" xfId="9" applyFont="1" applyFill="1" applyBorder="1" applyAlignment="1" applyProtection="1">
      <alignment horizontal="left" vertical="center"/>
    </xf>
    <xf numFmtId="0" fontId="4" fillId="15" borderId="3" xfId="9" applyFont="1" applyFill="1" applyBorder="1" applyAlignment="1" applyProtection="1">
      <alignment horizontal="left" vertical="center"/>
    </xf>
    <xf numFmtId="0" fontId="9" fillId="15" borderId="25" xfId="9" applyFont="1" applyFill="1" applyBorder="1" applyAlignment="1" applyProtection="1">
      <alignment horizontal="center" vertical="center" textRotation="90" wrapText="1"/>
    </xf>
    <xf numFmtId="0" fontId="9" fillId="15" borderId="26" xfId="9" applyFont="1" applyFill="1" applyBorder="1" applyAlignment="1" applyProtection="1">
      <alignment horizontal="center" vertical="center" textRotation="90" wrapText="1"/>
    </xf>
    <xf numFmtId="0" fontId="9" fillId="15" borderId="16" xfId="9" applyFont="1" applyFill="1" applyBorder="1" applyAlignment="1" applyProtection="1">
      <alignment horizontal="center" vertical="center" textRotation="90" wrapText="1"/>
    </xf>
    <xf numFmtId="0" fontId="9" fillId="15" borderId="1" xfId="9" applyFont="1" applyFill="1" applyBorder="1" applyAlignment="1" applyProtection="1">
      <alignment horizontal="left" vertical="center"/>
    </xf>
    <xf numFmtId="0" fontId="5" fillId="0" borderId="1" xfId="9" applyBorder="1" applyAlignment="1" applyProtection="1">
      <alignment horizontal="center" vertical="center"/>
    </xf>
    <xf numFmtId="0" fontId="9" fillId="0" borderId="0" xfId="9" applyFont="1" applyBorder="1" applyAlignment="1" applyProtection="1">
      <alignment horizontal="left" vertical="center"/>
    </xf>
    <xf numFmtId="0" fontId="36" fillId="0" borderId="1" xfId="9" applyFont="1" applyFill="1" applyBorder="1" applyAlignment="1" applyProtection="1">
      <alignment horizontal="left" vertical="center"/>
    </xf>
    <xf numFmtId="0" fontId="4" fillId="0" borderId="21" xfId="9" applyFont="1" applyBorder="1" applyAlignment="1" applyProtection="1">
      <alignment horizontal="left" vertical="center"/>
    </xf>
    <xf numFmtId="0" fontId="4" fillId="0" borderId="3" xfId="9" applyFont="1" applyBorder="1" applyAlignment="1" applyProtection="1">
      <alignment horizontal="left" vertical="center"/>
    </xf>
    <xf numFmtId="0" fontId="4" fillId="0" borderId="1" xfId="9" applyFont="1" applyFill="1" applyBorder="1" applyAlignment="1" applyProtection="1">
      <alignment horizontal="left" vertical="center"/>
    </xf>
    <xf numFmtId="0" fontId="4" fillId="12" borderId="21" xfId="9" applyFont="1" applyFill="1" applyBorder="1" applyAlignment="1" applyProtection="1">
      <alignment horizontal="left" vertical="center"/>
    </xf>
    <xf numFmtId="0" fontId="4" fillId="12" borderId="3" xfId="9" applyFont="1" applyFill="1" applyBorder="1" applyAlignment="1" applyProtection="1">
      <alignment horizontal="left" vertical="center"/>
    </xf>
    <xf numFmtId="0" fontId="10" fillId="0" borderId="1" xfId="9" applyFont="1" applyBorder="1" applyAlignment="1" applyProtection="1">
      <alignment horizontal="center" vertical="center"/>
    </xf>
    <xf numFmtId="49" fontId="4"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21" fillId="15" borderId="1" xfId="9" applyFont="1" applyFill="1" applyBorder="1" applyAlignment="1" applyProtection="1">
      <alignment horizontal="center" vertical="center" textRotation="90" wrapText="1"/>
    </xf>
    <xf numFmtId="0" fontId="9" fillId="0" borderId="21" xfId="9" applyFont="1" applyBorder="1" applyAlignment="1" applyProtection="1">
      <alignment horizontal="center" vertical="center" wrapText="1"/>
    </xf>
    <xf numFmtId="0" fontId="9" fillId="0" borderId="3" xfId="9" applyFont="1" applyBorder="1" applyAlignment="1" applyProtection="1">
      <alignment horizontal="center" vertical="center" wrapText="1"/>
    </xf>
    <xf numFmtId="0" fontId="7" fillId="15" borderId="21" xfId="9" applyFont="1" applyFill="1" applyBorder="1" applyAlignment="1" applyProtection="1">
      <alignment horizontal="right" vertical="center"/>
    </xf>
    <xf numFmtId="0" fontId="7" fillId="15" borderId="23" xfId="9" applyFont="1" applyFill="1" applyBorder="1" applyAlignment="1" applyProtection="1">
      <alignment horizontal="right" vertical="center"/>
    </xf>
    <xf numFmtId="0" fontId="4" fillId="15" borderId="21" xfId="9" applyFont="1" applyFill="1" applyBorder="1" applyAlignment="1" applyProtection="1">
      <alignment horizontal="left" vertical="center" wrapText="1"/>
    </xf>
    <xf numFmtId="0" fontId="4" fillId="15" borderId="23" xfId="9" applyFont="1" applyFill="1" applyBorder="1" applyAlignment="1" applyProtection="1">
      <alignment horizontal="left" vertical="center" wrapText="1"/>
    </xf>
    <xf numFmtId="0" fontId="4" fillId="15" borderId="3" xfId="9" applyFont="1" applyFill="1" applyBorder="1" applyAlignment="1" applyProtection="1">
      <alignment horizontal="left" vertical="center" wrapText="1"/>
    </xf>
    <xf numFmtId="166" fontId="5" fillId="0" borderId="1" xfId="9" applyNumberFormat="1" applyBorder="1" applyAlignment="1" applyProtection="1">
      <alignment horizontal="center" vertical="center"/>
    </xf>
    <xf numFmtId="0" fontId="4" fillId="0" borderId="12" xfId="9" applyFont="1" applyBorder="1" applyAlignment="1" applyProtection="1">
      <alignment horizontal="center" vertical="center"/>
    </xf>
    <xf numFmtId="0" fontId="4" fillId="15" borderId="9" xfId="9" applyFont="1" applyFill="1" applyBorder="1" applyAlignment="1" applyProtection="1">
      <alignment horizontal="left" vertical="center" wrapText="1"/>
    </xf>
    <xf numFmtId="0" fontId="5" fillId="0" borderId="0" xfId="9" applyAlignment="1" applyProtection="1">
      <alignment horizontal="left" vertical="center" wrapText="1"/>
    </xf>
    <xf numFmtId="0" fontId="4" fillId="15" borderId="1" xfId="9" applyFont="1" applyFill="1" applyBorder="1" applyAlignment="1" applyProtection="1">
      <alignment horizontal="left" vertical="center"/>
    </xf>
    <xf numFmtId="49" fontId="4" fillId="5" borderId="21" xfId="7" applyNumberFormat="1" applyFont="1" applyFill="1" applyBorder="1" applyAlignment="1" applyProtection="1">
      <alignment horizontal="left" vertical="center" wrapText="1"/>
      <protection locked="0"/>
    </xf>
    <xf numFmtId="49" fontId="4" fillId="5" borderId="23" xfId="7" applyNumberFormat="1" applyFont="1" applyFill="1" applyBorder="1" applyAlignment="1" applyProtection="1">
      <alignment horizontal="left" vertical="center" wrapText="1"/>
      <protection locked="0"/>
    </xf>
    <xf numFmtId="49" fontId="4" fillId="5" borderId="3" xfId="7" applyNumberFormat="1" applyFont="1" applyFill="1" applyBorder="1" applyAlignment="1" applyProtection="1">
      <alignment horizontal="left" vertical="center" wrapText="1"/>
      <protection locked="0"/>
    </xf>
    <xf numFmtId="0" fontId="7" fillId="15" borderId="3" xfId="9" applyFont="1" applyFill="1" applyBorder="1" applyAlignment="1" applyProtection="1">
      <alignment horizontal="right" vertical="center"/>
    </xf>
    <xf numFmtId="0" fontId="35" fillId="0" borderId="1" xfId="9" applyFont="1" applyFill="1" applyBorder="1" applyAlignment="1" applyProtection="1">
      <alignment horizontal="left" vertical="center"/>
    </xf>
    <xf numFmtId="0" fontId="4" fillId="0" borderId="1"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49" fontId="5" fillId="13" borderId="21" xfId="9" applyNumberFormat="1" applyFont="1" applyFill="1" applyBorder="1" applyAlignment="1" applyProtection="1">
      <alignment horizontal="left" vertical="center" wrapText="1"/>
      <protection locked="0"/>
    </xf>
    <xf numFmtId="49" fontId="5" fillId="13" borderId="23" xfId="9" applyNumberFormat="1" applyFont="1" applyFill="1" applyBorder="1" applyAlignment="1" applyProtection="1">
      <alignment horizontal="left" vertical="center" wrapText="1"/>
      <protection locked="0"/>
    </xf>
    <xf numFmtId="49" fontId="5" fillId="13" borderId="3" xfId="9"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xf>
    <xf numFmtId="0" fontId="5" fillId="0" borderId="0" xfId="9" applyFont="1" applyBorder="1" applyAlignment="1" applyProtection="1">
      <alignment horizontal="left" vertical="center"/>
    </xf>
    <xf numFmtId="0" fontId="45" fillId="0" borderId="27" xfId="16" applyFont="1" applyFill="1" applyBorder="1" applyAlignment="1" applyProtection="1">
      <alignment horizontal="left" vertical="center" wrapText="1"/>
    </xf>
    <xf numFmtId="0" fontId="45" fillId="0" borderId="4" xfId="16" applyFont="1" applyFill="1" applyBorder="1" applyAlignment="1" applyProtection="1">
      <alignment horizontal="left" vertical="center" wrapText="1"/>
    </xf>
    <xf numFmtId="0" fontId="45" fillId="0" borderId="49"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1083946</xdr:colOff>
      <xdr:row>1</xdr:row>
      <xdr:rowOff>245746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1083945</xdr:colOff>
      <xdr:row>1</xdr:row>
      <xdr:rowOff>245745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1126403</xdr:colOff>
      <xdr:row>1</xdr:row>
      <xdr:rowOff>250103</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1126403</xdr:colOff>
      <xdr:row>1</xdr:row>
      <xdr:rowOff>250103</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1084490</xdr:colOff>
      <xdr:row>1</xdr:row>
      <xdr:rowOff>246290</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1084490</xdr:colOff>
      <xdr:row>1</xdr:row>
      <xdr:rowOff>246290</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249555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B10" sqref="B10:F10"/>
    </sheetView>
  </sheetViews>
  <sheetFormatPr baseColWidth="10" defaultColWidth="11.44140625" defaultRowHeight="13.2" x14ac:dyDescent="0.25"/>
  <cols>
    <col min="1" max="1" width="1.44140625" style="25" customWidth="1"/>
    <col min="2" max="2" width="6" style="25" customWidth="1"/>
    <col min="3" max="3" width="45.6640625" style="25" customWidth="1"/>
    <col min="4" max="4" width="10.33203125" style="25" customWidth="1"/>
    <col min="5" max="5" width="20.6640625" style="25" customWidth="1"/>
    <col min="6" max="6" width="7.6640625" style="25" customWidth="1"/>
    <col min="7" max="7" width="11.44140625" style="25"/>
    <col min="8" max="8" width="44.44140625" style="25" customWidth="1"/>
    <col min="9" max="9" width="60.6640625" style="25" customWidth="1"/>
    <col min="10" max="16384" width="11.44140625" style="25"/>
  </cols>
  <sheetData>
    <row r="1" spans="2:9" ht="9" customHeight="1" thickBot="1" x14ac:dyDescent="0.35">
      <c r="H1" s="36"/>
    </row>
    <row r="2" spans="2:9" ht="48.75" customHeight="1" x14ac:dyDescent="0.25">
      <c r="B2" s="405"/>
      <c r="C2" s="406"/>
      <c r="D2" s="406"/>
      <c r="E2" s="406"/>
      <c r="F2" s="407"/>
      <c r="H2" s="399" t="str">
        <f>Langues1!C502</f>
        <v>Ultima verificazione prima della stampa, rispettivamente l’invio della domanda:</v>
      </c>
      <c r="I2" s="400"/>
    </row>
    <row r="3" spans="2:9" ht="16.5" customHeight="1" x14ac:dyDescent="0.25">
      <c r="B3" s="54"/>
      <c r="C3" s="52" t="str">
        <f>Langues1!C7</f>
        <v>Ufficio federale dell'energia UFE</v>
      </c>
      <c r="D3" s="53"/>
      <c r="E3" s="53"/>
      <c r="F3" s="56"/>
      <c r="H3" s="401" t="str">
        <f>Langues1!C503</f>
        <v>- Nessuna cellula del modulo di domanda deve essere rossa !</v>
      </c>
      <c r="I3" s="402"/>
    </row>
    <row r="4" spans="2:9" ht="30.75" customHeight="1" x14ac:dyDescent="0.25">
      <c r="B4" s="54"/>
      <c r="C4" s="52"/>
      <c r="D4" s="53"/>
      <c r="E4" s="53"/>
      <c r="F4" s="56"/>
      <c r="H4" s="401" t="str">
        <f>Langues1!C504</f>
        <v>- La prova del risparmio di elettricità nel documento consegnato, è : disponibile, preciso, comprensibile e trasparente.</v>
      </c>
      <c r="I4" s="402"/>
    </row>
    <row r="5" spans="2:9" ht="31.5" customHeight="1" x14ac:dyDescent="0.25">
      <c r="B5" s="54"/>
      <c r="C5" s="52"/>
      <c r="D5" s="53"/>
      <c r="E5" s="53"/>
      <c r="F5" s="56"/>
      <c r="H5" s="401"/>
      <c r="I5" s="402"/>
    </row>
    <row r="6" spans="2:9" ht="39" customHeight="1" x14ac:dyDescent="0.25">
      <c r="B6" s="55"/>
      <c r="C6" s="53"/>
      <c r="F6" s="56"/>
      <c r="H6" s="403" t="str">
        <f>Langues1!C506</f>
        <v>- Il formulario di proposta deve essere compilato in ogni sua parte. La proposta deve essere caricata unitamente al concetto del programma e agli altri documenti sulla portale online e trasmessa all'Organo indipendente ProKilowatt.</v>
      </c>
      <c r="I6" s="404"/>
    </row>
    <row r="7" spans="2:9" ht="16.5" customHeight="1" x14ac:dyDescent="0.25">
      <c r="B7" s="55"/>
      <c r="C7" s="53"/>
      <c r="D7" s="418" t="str">
        <f>Langues1!C8</f>
        <v>Organo indipendente per le gare pubbliche</v>
      </c>
      <c r="E7" s="418"/>
      <c r="F7" s="419"/>
      <c r="H7" s="403"/>
      <c r="I7" s="404"/>
    </row>
    <row r="8" spans="2:9" x14ac:dyDescent="0.25">
      <c r="B8" s="55"/>
      <c r="C8" s="53"/>
      <c r="D8" s="418" t="str">
        <f>Langues1!C9</f>
        <v>nel settore dell'efficienza energetica</v>
      </c>
      <c r="E8" s="418"/>
      <c r="F8" s="419"/>
      <c r="H8" s="39"/>
    </row>
    <row r="9" spans="2:9" ht="20.25" customHeight="1" thickBot="1" x14ac:dyDescent="0.3">
      <c r="B9" s="57"/>
      <c r="C9" s="58"/>
      <c r="D9" s="420" t="str">
        <f>Langues1!C10</f>
        <v>c/o CimArk SA, Rte du Rawyl 47, 1950 Sion</v>
      </c>
      <c r="E9" s="420"/>
      <c r="F9" s="421"/>
      <c r="H9" s="435" t="str">
        <f>Langues1!C40</f>
        <v>Il formulario di proposta riepiloga i punti principali del programma per la valutazione!</v>
      </c>
      <c r="I9" s="435"/>
    </row>
    <row r="10" spans="2:9" ht="87" customHeight="1" x14ac:dyDescent="0.25">
      <c r="B10" s="408" t="str">
        <f>Langues1!C11</f>
        <v>Gare pubbliche 2020
Formulario di proposta per programma elettrodomestici</v>
      </c>
      <c r="C10" s="409"/>
      <c r="D10" s="409"/>
      <c r="E10" s="409"/>
      <c r="F10" s="410"/>
      <c r="H10" s="434" t="str">
        <f>Langues1!C41</f>
        <v>Dal momento che i programmi possono essere molto diversi, il richiedente redige una descrizione completa del programma e trasmette i dati di riferimento del programma nel formulario di proposta del programma.</v>
      </c>
      <c r="I10" s="434"/>
    </row>
    <row r="11" spans="2:9" ht="33" customHeight="1" thickBot="1" x14ac:dyDescent="0.3">
      <c r="B11" s="413" t="s">
        <v>1271</v>
      </c>
      <c r="C11" s="414"/>
      <c r="D11" s="415"/>
      <c r="E11" s="84" t="s">
        <v>1969</v>
      </c>
      <c r="F11" s="61"/>
      <c r="H11" s="437" t="str">
        <f>Langues1!C501</f>
        <v>Attenzione, un’ulteriore cambiamento della scelta della lingua può provocare degli errori nelle checkbox nel documento.</v>
      </c>
      <c r="I11" s="437"/>
    </row>
    <row r="12" spans="2:9" ht="24.75" customHeight="1" x14ac:dyDescent="0.25">
      <c r="B12" s="62" t="s">
        <v>550</v>
      </c>
      <c r="C12" s="422" t="str">
        <f>Langues1!C12</f>
        <v>Rubrica</v>
      </c>
      <c r="D12" s="423"/>
      <c r="E12" s="59" t="str">
        <f>Langues1!C13</f>
        <v>Stato</v>
      </c>
      <c r="F12" s="60"/>
    </row>
    <row r="13" spans="2:9" ht="24.75" customHeight="1" x14ac:dyDescent="0.25">
      <c r="B13" s="63" t="s">
        <v>615</v>
      </c>
      <c r="C13" s="416" t="str">
        <f>Langues1!C14</f>
        <v>Pagina del titolo</v>
      </c>
      <c r="D13" s="417"/>
      <c r="E13" s="411" t="str">
        <f>Langues1!C35</f>
        <v>non compilare!!</v>
      </c>
      <c r="F13" s="412"/>
      <c r="H13" s="436" t="str">
        <f>Langues1!C42</f>
        <v>I formulari non vanno compilati. Le informazioni vengono rilevate da altri fogli di calcolo.</v>
      </c>
      <c r="I13" s="436"/>
    </row>
    <row r="14" spans="2:9" ht="20.25" customHeight="1" x14ac:dyDescent="0.25">
      <c r="B14" s="63">
        <v>0</v>
      </c>
      <c r="C14" s="416" t="str">
        <f>Langues1!C15</f>
        <v>Indici del programma</v>
      </c>
      <c r="D14" s="417"/>
      <c r="E14" s="411" t="str">
        <f>Langues1!C35</f>
        <v>non compilare!!</v>
      </c>
      <c r="F14" s="412"/>
      <c r="H14" s="436" t="str">
        <f>Langues1!C42</f>
        <v>I formulari non vanno compilati. Le informazioni vengono rilevate da altri fogli di calcolo.</v>
      </c>
      <c r="I14" s="436"/>
    </row>
    <row r="15" spans="2:9" ht="20.25" customHeight="1" x14ac:dyDescent="0.25">
      <c r="B15" s="63">
        <v>1</v>
      </c>
      <c r="C15" s="416" t="str">
        <f>Langues1!C16</f>
        <v>Descrittivo del programma</v>
      </c>
      <c r="D15" s="417"/>
      <c r="E15" s="1">
        <f>'1'!E2</f>
        <v>5</v>
      </c>
      <c r="F15" s="8"/>
    </row>
    <row r="16" spans="2:9" ht="20.25" customHeight="1" x14ac:dyDescent="0.25">
      <c r="B16" s="63">
        <v>2</v>
      </c>
      <c r="C16" s="416" t="str">
        <f>Langues1!C21</f>
        <v>Responsabile / Organizzazione</v>
      </c>
      <c r="D16" s="417"/>
      <c r="E16" s="1">
        <f>'2'!E2</f>
        <v>18</v>
      </c>
      <c r="F16" s="8"/>
      <c r="H16" s="40" t="str">
        <f>Langues1!C43</f>
        <v>Guida breve alla procedura</v>
      </c>
    </row>
    <row r="17" spans="2:9" ht="20.399999999999999" x14ac:dyDescent="0.25">
      <c r="B17" s="63">
        <v>3</v>
      </c>
      <c r="C17" s="416" t="str">
        <f>Langues1!C24</f>
        <v>Budget / Finanziamento (quantificazione)</v>
      </c>
      <c r="D17" s="417"/>
      <c r="E17" s="70">
        <f>SUM('3'!J2,'3'!R2)</f>
        <v>8</v>
      </c>
      <c r="F17" s="8"/>
      <c r="H17" s="432" t="str">
        <f>Langues1!C44</f>
        <v>Avvertenze importanti prima di compilare una proposta.</v>
      </c>
      <c r="I17" s="432"/>
    </row>
    <row r="18" spans="2:9" ht="20.399999999999999" x14ac:dyDescent="0.25">
      <c r="B18" s="63">
        <v>4</v>
      </c>
      <c r="C18" s="416" t="str">
        <f>Langues1!C561</f>
        <v>Valutazione dell'efficacia / risparmi</v>
      </c>
      <c r="D18" s="417"/>
      <c r="E18" s="70">
        <f>('4'!P2)</f>
        <v>0</v>
      </c>
      <c r="F18" s="8"/>
      <c r="H18" s="433" t="str">
        <f>Langues1!C45</f>
        <v>Prima di compilare la proposta, verificare se secondo la gara pubblica attuale il programma è ammesso all’asta (cfr. condizioni per la presentazione di programmi 2020, cap. 2).</v>
      </c>
      <c r="I18" s="433"/>
    </row>
    <row r="19" spans="2:9" ht="20.25" customHeight="1" x14ac:dyDescent="0.25">
      <c r="B19" s="63">
        <v>5</v>
      </c>
      <c r="C19" s="416" t="str">
        <f>Langues1!C28</f>
        <v>Consenso e osservazioni</v>
      </c>
      <c r="D19" s="417"/>
      <c r="E19" s="1">
        <f>'5'!E2</f>
        <v>2</v>
      </c>
      <c r="F19" s="8"/>
      <c r="H19" s="433"/>
      <c r="I19" s="433"/>
    </row>
    <row r="20" spans="2:9" x14ac:dyDescent="0.25">
      <c r="B20" s="26"/>
      <c r="C20" s="27"/>
      <c r="D20" s="27"/>
      <c r="E20" s="27"/>
      <c r="F20" s="28"/>
      <c r="H20" s="80"/>
    </row>
    <row r="21" spans="2:9" ht="14.4" thickBot="1" x14ac:dyDescent="0.3">
      <c r="B21" s="425" t="str">
        <f>Langues1!C55</f>
        <v>Facendo clic sul logo ProKilowatt si torna al menu.</v>
      </c>
      <c r="C21" s="426"/>
      <c r="D21" s="426"/>
      <c r="E21" s="426"/>
      <c r="F21" s="427"/>
      <c r="H21" s="40" t="str">
        <f>Langues1!C46</f>
        <v>Struttura della descrizione del programma (concetto del programma)</v>
      </c>
    </row>
    <row r="22" spans="2:9" x14ac:dyDescent="0.25">
      <c r="H22" s="37" t="str">
        <f>Langues1!C47</f>
        <v>La struttura della richiesta da presentare per il programma comprende i capitoli previsti dal modello del concetto del programma.</v>
      </c>
    </row>
    <row r="26" spans="2:9" x14ac:dyDescent="0.25">
      <c r="B26" s="9"/>
      <c r="C26" s="9"/>
      <c r="D26" s="9"/>
      <c r="E26" s="9"/>
      <c r="F26" s="9"/>
    </row>
    <row r="27" spans="2:9" ht="13.8" x14ac:dyDescent="0.25">
      <c r="B27" s="424" t="str">
        <f>Langues1!C31</f>
        <v>Guida breve (formulario di proposta)</v>
      </c>
      <c r="C27" s="424"/>
      <c r="D27" s="9"/>
      <c r="E27" s="9"/>
      <c r="F27" s="9"/>
    </row>
    <row r="28" spans="2:9" ht="12.75" customHeight="1" x14ac:dyDescent="0.25">
      <c r="B28" s="29"/>
      <c r="C28" s="9"/>
      <c r="D28" s="9"/>
      <c r="E28" s="9"/>
      <c r="F28" s="9"/>
    </row>
    <row r="29" spans="2:9" x14ac:dyDescent="0.25">
      <c r="B29" s="430" t="str">
        <f>Langues1!C32</f>
        <v>Campi obbligatori</v>
      </c>
      <c r="C29" s="430"/>
      <c r="D29" s="15"/>
      <c r="E29" s="9"/>
      <c r="F29" s="9"/>
    </row>
    <row r="30" spans="2:9" ht="60" customHeight="1" x14ac:dyDescent="0.25">
      <c r="B30" s="30"/>
      <c r="C30" s="431" t="str">
        <f>Langues1!C38</f>
        <v>Tutti i campi in cui l'inizio della riga ha il fondo arancione sono campi obbligatori e devono essere compilati.  Ci sono anche dei campi obbligatori dinamici che dipendono dalle risposte nel formulario.</v>
      </c>
      <c r="D30" s="431"/>
      <c r="E30" s="9"/>
      <c r="F30" s="9"/>
    </row>
    <row r="31" spans="2:9" x14ac:dyDescent="0.25">
      <c r="B31" s="21"/>
      <c r="C31" s="31"/>
      <c r="D31" s="31"/>
      <c r="E31" s="9"/>
      <c r="F31" s="9"/>
    </row>
    <row r="32" spans="2:9" ht="39.6" x14ac:dyDescent="0.25">
      <c r="B32" s="21"/>
      <c r="C32" s="32" t="str">
        <f>Langues1!C33</f>
        <v>I campi con fondo grigio chiaro sono campi di immissione per testo e numeri. L'altezza delle righe va mantenuta.</v>
      </c>
      <c r="D32" s="90"/>
      <c r="E32" s="9"/>
      <c r="F32" s="9"/>
    </row>
    <row r="33" spans="2:8" x14ac:dyDescent="0.25">
      <c r="B33" s="21"/>
      <c r="C33" s="33"/>
      <c r="D33" s="33"/>
      <c r="E33" s="9"/>
      <c r="F33" s="9"/>
      <c r="H33" s="81"/>
    </row>
    <row r="34" spans="2:8" ht="60" customHeight="1" x14ac:dyDescent="0.25">
      <c r="B34" s="21"/>
      <c r="C34" s="34" t="str">
        <f>Langues1!C34</f>
        <v>I campi con fondo celeste contengono i risultati dei calcoli e non possono essere influenzati. Le formule sono visibili per rendere comprensibili i calcoli.</v>
      </c>
      <c r="D34" s="34"/>
      <c r="E34" s="9"/>
      <c r="F34" s="9"/>
      <c r="H34" s="66"/>
    </row>
    <row r="35" spans="2:8" x14ac:dyDescent="0.25">
      <c r="B35" s="21"/>
      <c r="C35" s="31"/>
      <c r="D35" s="31"/>
      <c r="E35" s="9"/>
      <c r="F35" s="9"/>
      <c r="H35" s="81"/>
    </row>
    <row r="36" spans="2:8" x14ac:dyDescent="0.25">
      <c r="B36" s="430" t="str">
        <f>Langues1!C13</f>
        <v>Stato</v>
      </c>
      <c r="C36" s="430"/>
      <c r="D36" s="11"/>
      <c r="E36" s="9"/>
      <c r="F36" s="9"/>
      <c r="H36" s="81"/>
    </row>
    <row r="37" spans="2:8" ht="52.8" x14ac:dyDescent="0.25">
      <c r="B37" s="9"/>
      <c r="C37" s="17" t="str">
        <f>Langues1!C36</f>
        <v>Il campo Stato nel menu o in alto in ogni pagina indica quali parti del formulario sono già state interamente compilate.  Se lo stato è rosso, significa che non sono stati compilati tutti i campi obbligatori.</v>
      </c>
      <c r="D37" s="17"/>
      <c r="E37" s="256"/>
      <c r="F37" s="9"/>
      <c r="H37" s="66"/>
    </row>
    <row r="38" spans="2:8" x14ac:dyDescent="0.25">
      <c r="B38" s="9"/>
      <c r="C38" s="9"/>
      <c r="D38" s="9"/>
      <c r="E38" s="9"/>
      <c r="F38" s="9"/>
    </row>
    <row r="39" spans="2:8" ht="26.4" x14ac:dyDescent="0.25">
      <c r="B39" s="9"/>
      <c r="C39" s="17" t="str">
        <f>Langues1!C37</f>
        <v>Non appena sono state inserite tutte le informazioni obbligatorie, lo stato diventa verde.</v>
      </c>
      <c r="D39" s="17"/>
      <c r="E39" s="257"/>
      <c r="F39" s="9"/>
    </row>
    <row r="41" spans="2:8" x14ac:dyDescent="0.25">
      <c r="C41" s="428" t="s">
        <v>1968</v>
      </c>
      <c r="D41" s="429"/>
      <c r="E41" s="142" t="s">
        <v>1910</v>
      </c>
    </row>
  </sheetData>
  <sheetProtection algorithmName="SHA-512" hashValue="Q5p/CnL5NVgfEBCxt76507r8J6n+ZcgThb9HiKww34KVZ/mmzdSEp/2Y5R5hIflm2nNdj+bHlu/dC00cijU1Pg==" saltValue="Fp+lx4/j6LwpRyTBnwm4Bw==" spinCount="100000" sheet="1" objects="1" scenarios="1"/>
  <mergeCells count="34">
    <mergeCell ref="C16:D16"/>
    <mergeCell ref="C19:D19"/>
    <mergeCell ref="C15:D15"/>
    <mergeCell ref="C17:D17"/>
    <mergeCell ref="C18:D18"/>
    <mergeCell ref="H17:I17"/>
    <mergeCell ref="H18:I19"/>
    <mergeCell ref="H10:I10"/>
    <mergeCell ref="H9:I9"/>
    <mergeCell ref="H13:I13"/>
    <mergeCell ref="H14:I14"/>
    <mergeCell ref="H11:I11"/>
    <mergeCell ref="B27:C27"/>
    <mergeCell ref="B21:F21"/>
    <mergeCell ref="C41:D41"/>
    <mergeCell ref="B29:C29"/>
    <mergeCell ref="B36:C36"/>
    <mergeCell ref="C30:D30"/>
    <mergeCell ref="B2:F2"/>
    <mergeCell ref="B10:F10"/>
    <mergeCell ref="E13:F13"/>
    <mergeCell ref="E14:F14"/>
    <mergeCell ref="B11:D11"/>
    <mergeCell ref="C13:D13"/>
    <mergeCell ref="D7:F7"/>
    <mergeCell ref="D9:F9"/>
    <mergeCell ref="C14:D14"/>
    <mergeCell ref="D8:F8"/>
    <mergeCell ref="C12:D12"/>
    <mergeCell ref="H2:I2"/>
    <mergeCell ref="H3:I3"/>
    <mergeCell ref="H4:I4"/>
    <mergeCell ref="H6:I7"/>
    <mergeCell ref="H5:I5"/>
  </mergeCells>
  <phoneticPr fontId="22"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42"/>
  <sheetViews>
    <sheetView topLeftCell="A16" workbookViewId="0">
      <selection activeCell="C42" sqref="C42"/>
    </sheetView>
  </sheetViews>
  <sheetFormatPr baseColWidth="10" defaultColWidth="11.44140625" defaultRowHeight="14.4" x14ac:dyDescent="0.3"/>
  <cols>
    <col min="1" max="1" width="20.6640625" style="342" customWidth="1"/>
    <col min="2" max="2" width="71.6640625" style="342" customWidth="1"/>
    <col min="3" max="5" width="11.44140625" style="342"/>
    <col min="6" max="6" width="40.109375" style="342" customWidth="1"/>
    <col min="7" max="16384" width="11.44140625" style="342"/>
  </cols>
  <sheetData>
    <row r="1" spans="1:7" ht="23.4" x14ac:dyDescent="0.45">
      <c r="A1" s="341" t="s">
        <v>1820</v>
      </c>
      <c r="E1" s="341" t="str">
        <f>Langues1!C648</f>
        <v>Settore</v>
      </c>
    </row>
    <row r="2" spans="1:7" ht="43.8" thickBot="1" x14ac:dyDescent="0.35">
      <c r="C2" s="343" t="s">
        <v>1801</v>
      </c>
    </row>
    <row r="3" spans="1:7" ht="14.4" customHeight="1" x14ac:dyDescent="0.3">
      <c r="A3" s="344" t="s">
        <v>1821</v>
      </c>
      <c r="B3" s="361" t="str">
        <f>Langues1!C653</f>
        <v xml:space="preserve">Forni </v>
      </c>
      <c r="C3" s="345">
        <v>15</v>
      </c>
      <c r="E3" s="342" t="str">
        <f>Langues1!C642</f>
        <v>Industria</v>
      </c>
    </row>
    <row r="4" spans="1:7" ht="14.4" customHeight="1" x14ac:dyDescent="0.3">
      <c r="A4" s="346"/>
      <c r="B4" s="362" t="str">
        <f>Langues1!C654</f>
        <v>Essiccatori</v>
      </c>
      <c r="C4" s="347">
        <v>15</v>
      </c>
      <c r="E4" s="342" t="str">
        <f>Langues1!C643</f>
        <v>Industria (PMI)</v>
      </c>
      <c r="G4" s="377"/>
    </row>
    <row r="5" spans="1:7" ht="14.4" customHeight="1" thickBot="1" x14ac:dyDescent="0.35">
      <c r="A5" s="349"/>
      <c r="B5" s="363" t="str">
        <f>Langues1!C656</f>
        <v>Riscaldatori a induzione</v>
      </c>
      <c r="C5" s="350">
        <v>15</v>
      </c>
      <c r="E5" s="342" t="str">
        <f>Langues1!C644</f>
        <v>Artigianato</v>
      </c>
    </row>
    <row r="6" spans="1:7" ht="14.4" customHeight="1" x14ac:dyDescent="0.3">
      <c r="A6" s="351" t="s">
        <v>1822</v>
      </c>
      <c r="B6" s="361" t="str">
        <f>Langues1!C657</f>
        <v>Motori elettrici &lt; 20 kW</v>
      </c>
      <c r="C6" s="352">
        <v>15</v>
      </c>
      <c r="E6" s="342" t="str">
        <f>Langues1!C645</f>
        <v>Artigianato (PMI)</v>
      </c>
    </row>
    <row r="7" spans="1:7" ht="14.4" customHeight="1" x14ac:dyDescent="0.3">
      <c r="A7" s="353"/>
      <c r="B7" s="362" t="str">
        <f>Langues1!C658</f>
        <v>Motori elettrici o sistemi di trazione ≥ 20 kW</v>
      </c>
      <c r="C7" s="354">
        <v>25</v>
      </c>
      <c r="E7" s="342" t="str">
        <f>Langues1!C646</f>
        <v>Commercio</v>
      </c>
    </row>
    <row r="8" spans="1:7" ht="14.4" customHeight="1" x14ac:dyDescent="0.3">
      <c r="A8" s="348"/>
      <c r="B8" s="362" t="str">
        <f>Langues1!C659</f>
        <v xml:space="preserve">Convertitori di frequenza </v>
      </c>
      <c r="C8" s="355">
        <v>15</v>
      </c>
      <c r="E8" s="342" t="str">
        <f>Langues1!C647</f>
        <v>Commercio (PMI)</v>
      </c>
    </row>
    <row r="9" spans="1:7" ht="14.4" customHeight="1" x14ac:dyDescent="0.3">
      <c r="A9" s="348"/>
      <c r="B9" s="362" t="str">
        <f>Langues1!C660</f>
        <v xml:space="preserve">Sistemi a vuoto </v>
      </c>
      <c r="C9" s="355">
        <v>15</v>
      </c>
      <c r="E9" s="342" t="str">
        <f>Langues1!C696</f>
        <v>Servizi</v>
      </c>
    </row>
    <row r="10" spans="1:7" ht="14.4" customHeight="1" x14ac:dyDescent="0.3">
      <c r="A10" s="348"/>
      <c r="B10" s="362" t="str">
        <f>Langues1!C661</f>
        <v xml:space="preserve">Sistemi a vuoto con convertitore di frequenza </v>
      </c>
      <c r="C10" s="355">
        <v>15</v>
      </c>
      <c r="E10" s="342" t="str">
        <f>Langues1!C649</f>
        <v>Servizi  (PMI)</v>
      </c>
    </row>
    <row r="11" spans="1:7" ht="14.4" customHeight="1" x14ac:dyDescent="0.3">
      <c r="A11" s="348"/>
      <c r="B11" s="362" t="str">
        <f>Langues1!C662</f>
        <v xml:space="preserve">Sistemi a pompa </v>
      </c>
      <c r="C11" s="355">
        <v>15</v>
      </c>
      <c r="E11" s="342" t="str">
        <f>Langues1!C650</f>
        <v>Agricoltura</v>
      </c>
    </row>
    <row r="12" spans="1:7" ht="14.4" customHeight="1" x14ac:dyDescent="0.3">
      <c r="A12" s="348"/>
      <c r="B12" s="362" t="str">
        <f>Langues1!C663</f>
        <v xml:space="preserve">Sistemi a pompa con convertitore di frequenza </v>
      </c>
      <c r="C12" s="355">
        <v>15</v>
      </c>
      <c r="E12" s="342" t="str">
        <f>Langues1!C651</f>
        <v>Agricultura (PMI)</v>
      </c>
    </row>
    <row r="13" spans="1:7" ht="14.4" customHeight="1" x14ac:dyDescent="0.3">
      <c r="A13" s="348"/>
      <c r="B13" s="362" t="str">
        <f>Langues1!C664</f>
        <v xml:space="preserve">Pompe di circolazione (con rotore bagnato) per sistemi di riscaldamento </v>
      </c>
      <c r="C13" s="355">
        <v>15</v>
      </c>
      <c r="E13" s="342" t="str">
        <f>Langues1!C652</f>
        <v>Economie domestiche</v>
      </c>
    </row>
    <row r="14" spans="1:7" ht="14.4" customHeight="1" x14ac:dyDescent="0.3">
      <c r="A14" s="348"/>
      <c r="B14" s="362" t="str">
        <f>Langues1!C665</f>
        <v xml:space="preserve">Sistemi di ventilazione con convertitore di frequenza </v>
      </c>
      <c r="C14" s="355">
        <v>15</v>
      </c>
    </row>
    <row r="15" spans="1:7" ht="14.4" customHeight="1" x14ac:dyDescent="0.3">
      <c r="A15" s="348"/>
      <c r="B15" s="364" t="str">
        <f>Langues1!C666</f>
        <v>Sistemi di ventilazione</v>
      </c>
      <c r="C15" s="355">
        <v>15</v>
      </c>
    </row>
    <row r="16" spans="1:7" ht="14.4" customHeight="1" x14ac:dyDescent="0.3">
      <c r="A16" s="348"/>
      <c r="B16" s="362" t="str">
        <f>Langues1!C667</f>
        <v xml:space="preserve">Impianti di refrigerazione (climatizzazione) </v>
      </c>
      <c r="C16" s="355">
        <v>15</v>
      </c>
    </row>
    <row r="17" spans="1:3" ht="14.4" customHeight="1" x14ac:dyDescent="0.3">
      <c r="A17" s="348"/>
      <c r="B17" s="362" t="str">
        <f>Langues1!C668</f>
        <v>Impianti di refrigerazione (processo)</v>
      </c>
      <c r="C17" s="355">
        <v>15</v>
      </c>
    </row>
    <row r="18" spans="1:3" ht="14.4" customHeight="1" x14ac:dyDescent="0.3">
      <c r="A18" s="348"/>
      <c r="B18" s="362" t="str">
        <f>Langues1!C669</f>
        <v xml:space="preserve">Compressori (senza olio) </v>
      </c>
      <c r="C18" s="355">
        <v>15</v>
      </c>
    </row>
    <row r="19" spans="1:3" ht="14.4" customHeight="1" x14ac:dyDescent="0.3">
      <c r="A19" s="348"/>
      <c r="B19" s="362" t="str">
        <f>Langues1!C670</f>
        <v>Compressori (senza olio) con convertitore di frequenza</v>
      </c>
      <c r="C19" s="355">
        <v>15</v>
      </c>
    </row>
    <row r="20" spans="1:3" ht="14.4" customHeight="1" x14ac:dyDescent="0.3">
      <c r="A20" s="348"/>
      <c r="B20" s="362" t="str">
        <f>Langues1!C671</f>
        <v>Compressori (a iniezione di olio)</v>
      </c>
      <c r="C20" s="355">
        <v>15</v>
      </c>
    </row>
    <row r="21" spans="1:3" ht="14.4" customHeight="1" x14ac:dyDescent="0.3">
      <c r="A21" s="348"/>
      <c r="B21" s="362" t="str">
        <f>Langues1!C672</f>
        <v>Compressori (a iniezione di olio) kW con convertitore di frequenza</v>
      </c>
      <c r="C21" s="355">
        <v>15</v>
      </c>
    </row>
    <row r="22" spans="1:3" ht="14.4" customHeight="1" thickBot="1" x14ac:dyDescent="0.35">
      <c r="A22" s="356"/>
      <c r="B22" s="363" t="str">
        <f>Langues1!C673</f>
        <v>Ascensori e scale mobili</v>
      </c>
      <c r="C22" s="357">
        <v>15</v>
      </c>
    </row>
    <row r="23" spans="1:3" ht="14.4" customHeight="1" x14ac:dyDescent="0.3">
      <c r="A23" s="587" t="s">
        <v>1823</v>
      </c>
      <c r="B23" s="361" t="str">
        <f>Langues1!C674</f>
        <v>Gruppi di continuità (UPS)</v>
      </c>
      <c r="C23" s="345">
        <v>15</v>
      </c>
    </row>
    <row r="24" spans="1:3" ht="14.4" customHeight="1" x14ac:dyDescent="0.3">
      <c r="A24" s="588"/>
      <c r="B24" s="362" t="str">
        <f>Langues1!C675</f>
        <v>Raddrizzatori ≥ 50 kW</v>
      </c>
      <c r="C24" s="358">
        <v>25</v>
      </c>
    </row>
    <row r="25" spans="1:3" ht="14.4" customHeight="1" x14ac:dyDescent="0.3">
      <c r="A25" s="589"/>
      <c r="B25" s="362" t="str">
        <f>Langues1!C676</f>
        <v>Raddrizzatori &lt; 50 kW</v>
      </c>
      <c r="C25" s="347">
        <v>15</v>
      </c>
    </row>
    <row r="26" spans="1:3" ht="14.4" customHeight="1" x14ac:dyDescent="0.3">
      <c r="A26" s="348"/>
      <c r="B26" s="362" t="str">
        <f>Langues1!C677</f>
        <v>Impianti ORC per la produzione in proprio di energia elettrica</v>
      </c>
      <c r="C26" s="358">
        <v>25</v>
      </c>
    </row>
    <row r="27" spans="1:3" ht="14.4" customHeight="1" thickBot="1" x14ac:dyDescent="0.35">
      <c r="A27" s="348"/>
      <c r="B27" s="362" t="str">
        <f>Langues1!C678</f>
        <v>Impianti per l'espansione di gas per la produzione in proprio di energia elettrica</v>
      </c>
      <c r="C27" s="358">
        <v>25</v>
      </c>
    </row>
    <row r="28" spans="1:3" ht="14.4" customHeight="1" thickBot="1" x14ac:dyDescent="0.35">
      <c r="A28" s="360" t="s">
        <v>1893</v>
      </c>
      <c r="B28" s="361" t="str">
        <f>Langues1!C694</f>
        <v>Trasformatori</v>
      </c>
      <c r="C28" s="359">
        <v>25</v>
      </c>
    </row>
    <row r="29" spans="1:3" ht="14.4" customHeight="1" thickBot="1" x14ac:dyDescent="0.35">
      <c r="A29" s="360"/>
      <c r="B29" s="361" t="str">
        <f>Langues1!C698</f>
        <v>Cavi di alimentazione</v>
      </c>
      <c r="C29" s="383">
        <v>25</v>
      </c>
    </row>
    <row r="30" spans="1:3" ht="14.4" customHeight="1" thickBot="1" x14ac:dyDescent="0.35">
      <c r="A30" s="360" t="s">
        <v>1892</v>
      </c>
      <c r="B30" s="361" t="str">
        <f>Langues1!C693</f>
        <v>IT hardware</v>
      </c>
      <c r="C30" s="383">
        <v>5</v>
      </c>
    </row>
    <row r="31" spans="1:3" ht="14.4" customHeight="1" x14ac:dyDescent="0.3">
      <c r="A31" s="351" t="s">
        <v>1824</v>
      </c>
      <c r="B31" s="361" t="str">
        <f>Langues1!C680</f>
        <v>Illuminazione interna (capannoni)</v>
      </c>
      <c r="C31" s="345">
        <v>15</v>
      </c>
    </row>
    <row r="32" spans="1:3" ht="14.4" customHeight="1" x14ac:dyDescent="0.3">
      <c r="A32" s="348"/>
      <c r="B32" s="362" t="str">
        <f>Langues1!C681</f>
        <v>Illuminazione interna (uffici)</v>
      </c>
      <c r="C32" s="347">
        <v>15</v>
      </c>
    </row>
    <row r="33" spans="1:3" ht="14.4" customHeight="1" x14ac:dyDescent="0.3">
      <c r="A33" s="348"/>
      <c r="B33" s="362" t="str">
        <f>Langues1!C682</f>
        <v>Illuminazione interna (superfici di vendita)</v>
      </c>
      <c r="C33" s="347">
        <v>15</v>
      </c>
    </row>
    <row r="34" spans="1:3" ht="14.4" customHeight="1" x14ac:dyDescent="0.3">
      <c r="A34" s="348"/>
      <c r="B34" s="362" t="str">
        <f>Langues1!C683</f>
        <v>Illuminazione interna (altro)</v>
      </c>
      <c r="C34" s="347">
        <v>15</v>
      </c>
    </row>
    <row r="35" spans="1:3" ht="14.4" customHeight="1" x14ac:dyDescent="0.3">
      <c r="A35" s="348"/>
      <c r="B35" s="362" t="str">
        <f>Langues1!C684</f>
        <v>Illuminazione interna (edifici residenziali)</v>
      </c>
      <c r="C35" s="347">
        <v>15</v>
      </c>
    </row>
    <row r="36" spans="1:3" ht="14.4" customHeight="1" thickBot="1" x14ac:dyDescent="0.35">
      <c r="A36" s="384"/>
      <c r="B36" s="362" t="str">
        <f>Langues1!C697</f>
        <v>Illuminazione esterna (strade e superfici di circolazione)</v>
      </c>
      <c r="C36" s="385">
        <v>25</v>
      </c>
    </row>
    <row r="37" spans="1:3" ht="14.4" customHeight="1" thickBot="1" x14ac:dyDescent="0.35">
      <c r="A37" s="360" t="s">
        <v>1660</v>
      </c>
      <c r="B37" s="365" t="str">
        <f>Langues1!C695</f>
        <v>Frigoriferi e congelatori commerciali</v>
      </c>
      <c r="C37" s="359">
        <v>8</v>
      </c>
    </row>
    <row r="38" spans="1:3" ht="14.4" customHeight="1" thickBot="1" x14ac:dyDescent="0.35">
      <c r="A38" s="344"/>
      <c r="B38" s="388" t="str">
        <f>Langues1!C688</f>
        <v>Altre tecnologie</v>
      </c>
      <c r="C38" s="389">
        <v>15</v>
      </c>
    </row>
    <row r="39" spans="1:3" ht="14.4" customHeight="1" x14ac:dyDescent="0.3">
      <c r="A39" s="390" t="s">
        <v>1942</v>
      </c>
      <c r="B39" s="391" t="str">
        <f>Langues1!C597</f>
        <v>Frigoriferi e congelatori</v>
      </c>
      <c r="C39" s="392">
        <v>15</v>
      </c>
    </row>
    <row r="40" spans="1:3" ht="14.4" customHeight="1" x14ac:dyDescent="0.3">
      <c r="A40" s="393"/>
      <c r="B40" s="387" t="str">
        <f>Langues1!C598</f>
        <v>Lavatrice</v>
      </c>
      <c r="C40" s="394">
        <v>15</v>
      </c>
    </row>
    <row r="41" spans="1:3" ht="15" thickBot="1" x14ac:dyDescent="0.35">
      <c r="A41" s="395"/>
      <c r="B41" s="396" t="str">
        <f>Langues1!C599</f>
        <v>Lavastoviglie</v>
      </c>
      <c r="C41" s="397">
        <v>15</v>
      </c>
    </row>
    <row r="42" spans="1:3" x14ac:dyDescent="0.3">
      <c r="A42" s="386"/>
    </row>
  </sheetData>
  <mergeCells count="1">
    <mergeCell ref="A23:A25"/>
  </mergeCells>
  <conditionalFormatting sqref="C8:C23 C26:C27 C3:C5 C30:C41">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D3" workbookViewId="0">
      <selection activeCell="F11" sqref="F11"/>
    </sheetView>
  </sheetViews>
  <sheetFormatPr baseColWidth="10" defaultRowHeight="15" customHeight="1" x14ac:dyDescent="0.25"/>
  <cols>
    <col min="1" max="1" width="34.6640625" customWidth="1"/>
    <col min="3" max="3" width="57.44140625" customWidth="1"/>
    <col min="5" max="5" width="20.44140625" customWidth="1"/>
    <col min="6" max="6" width="30.33203125" customWidth="1"/>
    <col min="7" max="7" width="39.109375" customWidth="1"/>
    <col min="8" max="8" width="52.6640625" customWidth="1"/>
  </cols>
  <sheetData>
    <row r="1" spans="1:8" ht="15" customHeight="1" x14ac:dyDescent="0.3">
      <c r="A1" s="51" t="s">
        <v>617</v>
      </c>
      <c r="B1" s="373" t="str">
        <f>IF(ISBLANK(B2) = FALSE,B2,IF(Menu!E11 = "English","e",IF(Menu!E11 = "Français","f",IF(Menu!E11 = "Deutsch","d",IF(Menu!E11 = "Italiano","i",Menu!E11)))))</f>
        <v>i</v>
      </c>
      <c r="C1" s="102" t="s">
        <v>618</v>
      </c>
      <c r="D1" s="103"/>
      <c r="E1" s="104" t="str">
        <f>IF(ISBLANK(B2) = FALSE,B2,IF(Menu!E11 = "English","e",IF(Menu!E11 = "Français","f",IF(Menu!E51 = "Deutsch","d",IF(Menu!E11 = "Italiano","i",Menu!E11)))))</f>
        <v>i</v>
      </c>
      <c r="F1" s="105"/>
      <c r="G1" s="106"/>
      <c r="H1" s="104"/>
    </row>
    <row r="2" spans="1:8" ht="15" customHeight="1" x14ac:dyDescent="0.3">
      <c r="A2" s="108" t="s">
        <v>546</v>
      </c>
      <c r="B2" s="109"/>
      <c r="C2" s="313" t="s">
        <v>547</v>
      </c>
      <c r="D2" s="89"/>
      <c r="E2" s="110"/>
      <c r="F2" s="111"/>
      <c r="G2" s="112"/>
      <c r="H2" s="104"/>
    </row>
    <row r="3" spans="1:8" ht="15" customHeight="1" x14ac:dyDescent="0.3">
      <c r="A3" s="113"/>
      <c r="B3" s="114"/>
      <c r="C3" s="51" t="s">
        <v>619</v>
      </c>
      <c r="D3" s="115"/>
      <c r="E3" s="116"/>
      <c r="F3" s="117"/>
      <c r="G3" s="118"/>
      <c r="H3" s="119"/>
    </row>
    <row r="4" spans="1:8" ht="15" customHeight="1" x14ac:dyDescent="0.3">
      <c r="A4" s="120" t="s">
        <v>620</v>
      </c>
      <c r="B4" s="121"/>
      <c r="C4" s="122" t="str">
        <f>IF($B$1="f",F4,IF($B$1="d",G4,H4))</f>
        <v>Italiano (I)</v>
      </c>
      <c r="D4" s="123"/>
      <c r="E4" s="124" t="s">
        <v>621</v>
      </c>
      <c r="F4" s="125" t="s">
        <v>622</v>
      </c>
      <c r="G4" s="126" t="s">
        <v>623</v>
      </c>
      <c r="H4" s="127" t="s">
        <v>624</v>
      </c>
    </row>
    <row r="5" spans="1:8" ht="15" customHeight="1" x14ac:dyDescent="0.3">
      <c r="A5" s="128" t="s">
        <v>627</v>
      </c>
      <c r="B5" s="121">
        <f>1</f>
        <v>1</v>
      </c>
      <c r="C5" s="129" t="str">
        <f t="shared" ref="C5:C68" si="0">IF($B$1="f",F5,IF($B$1="d",G5,H5))</f>
        <v>Impresa</v>
      </c>
      <c r="D5" s="107"/>
      <c r="E5" s="314" t="s">
        <v>625</v>
      </c>
      <c r="F5" s="135" t="s">
        <v>630</v>
      </c>
      <c r="G5" s="315" t="s">
        <v>626</v>
      </c>
      <c r="H5" s="316" t="s">
        <v>901</v>
      </c>
    </row>
    <row r="6" spans="1:8" ht="15" customHeight="1" x14ac:dyDescent="0.3">
      <c r="A6" s="130" t="s">
        <v>631</v>
      </c>
      <c r="B6" s="131">
        <f t="shared" ref="B6:B69" si="1">B5+1</f>
        <v>2</v>
      </c>
      <c r="C6" s="129">
        <f t="shared" si="0"/>
        <v>0</v>
      </c>
      <c r="D6" s="107"/>
      <c r="E6" s="317"/>
      <c r="F6" s="310"/>
      <c r="G6" s="318"/>
      <c r="H6" s="319"/>
    </row>
    <row r="7" spans="1:8" ht="15" customHeight="1" x14ac:dyDescent="0.3">
      <c r="A7" s="132" t="s">
        <v>633</v>
      </c>
      <c r="B7" s="131">
        <f t="shared" si="1"/>
        <v>3</v>
      </c>
      <c r="C7" s="129" t="str">
        <f t="shared" si="0"/>
        <v>Ufficio federale dell'energia UFE</v>
      </c>
      <c r="D7" s="107"/>
      <c r="E7" s="317"/>
      <c r="F7" s="310" t="s">
        <v>166</v>
      </c>
      <c r="G7" s="318" t="s">
        <v>629</v>
      </c>
      <c r="H7" s="319" t="s">
        <v>902</v>
      </c>
    </row>
    <row r="8" spans="1:8" ht="15" customHeight="1" x14ac:dyDescent="0.3">
      <c r="A8" s="132" t="s">
        <v>634</v>
      </c>
      <c r="B8" s="131">
        <f t="shared" si="1"/>
        <v>4</v>
      </c>
      <c r="C8" s="129" t="str">
        <f t="shared" si="0"/>
        <v>Organo indipendente per le gare pubbliche</v>
      </c>
      <c r="D8" s="107"/>
      <c r="E8" s="317"/>
      <c r="F8" s="310" t="s">
        <v>167</v>
      </c>
      <c r="G8" s="318" t="s">
        <v>821</v>
      </c>
      <c r="H8" s="319" t="s">
        <v>903</v>
      </c>
    </row>
    <row r="9" spans="1:8" ht="15" customHeight="1" x14ac:dyDescent="0.3">
      <c r="A9" s="132" t="s">
        <v>635</v>
      </c>
      <c r="B9" s="131">
        <f t="shared" si="1"/>
        <v>5</v>
      </c>
      <c r="C9" s="129" t="str">
        <f t="shared" si="0"/>
        <v>nel settore dell'efficienza energetica</v>
      </c>
      <c r="D9" s="107"/>
      <c r="E9" s="317"/>
      <c r="F9" s="310" t="s">
        <v>168</v>
      </c>
      <c r="G9" s="318" t="s">
        <v>614</v>
      </c>
      <c r="H9" s="319" t="s">
        <v>904</v>
      </c>
    </row>
    <row r="10" spans="1:8" ht="15" customHeight="1" x14ac:dyDescent="0.3">
      <c r="A10" s="132" t="s">
        <v>636</v>
      </c>
      <c r="B10" s="131">
        <f t="shared" si="1"/>
        <v>6</v>
      </c>
      <c r="C10" s="129" t="str">
        <f t="shared" si="0"/>
        <v>c/o CimArk SA, Rte du Rawyl 47, 1950 Sion</v>
      </c>
      <c r="D10" s="107"/>
      <c r="E10" s="317"/>
      <c r="F10" s="310" t="s">
        <v>872</v>
      </c>
      <c r="G10" s="318" t="s">
        <v>873</v>
      </c>
      <c r="H10" s="319" t="s">
        <v>873</v>
      </c>
    </row>
    <row r="11" spans="1:8" ht="15" customHeight="1" x14ac:dyDescent="0.3">
      <c r="A11" s="132" t="s">
        <v>637</v>
      </c>
      <c r="B11" s="131">
        <f t="shared" si="1"/>
        <v>7</v>
      </c>
      <c r="C11" s="129" t="str">
        <f t="shared" si="0"/>
        <v>Gare pubbliche 2020
Formulario di proposta per programma elettrodomestici</v>
      </c>
      <c r="D11" s="107"/>
      <c r="E11" s="317"/>
      <c r="F11" s="310" t="s">
        <v>1965</v>
      </c>
      <c r="G11" s="318" t="s">
        <v>1966</v>
      </c>
      <c r="H11" s="319" t="s">
        <v>1967</v>
      </c>
    </row>
    <row r="12" spans="1:8" ht="15" customHeight="1" x14ac:dyDescent="0.3">
      <c r="A12" s="132" t="s">
        <v>638</v>
      </c>
      <c r="B12" s="131">
        <f t="shared" si="1"/>
        <v>8</v>
      </c>
      <c r="C12" s="129" t="str">
        <f t="shared" si="0"/>
        <v>Rubrica</v>
      </c>
      <c r="D12" s="107"/>
      <c r="E12" s="317"/>
      <c r="F12" s="310" t="s">
        <v>169</v>
      </c>
      <c r="G12" s="318" t="s">
        <v>551</v>
      </c>
      <c r="H12" s="319" t="s">
        <v>905</v>
      </c>
    </row>
    <row r="13" spans="1:8" ht="15" customHeight="1" x14ac:dyDescent="0.3">
      <c r="A13" s="132" t="s">
        <v>639</v>
      </c>
      <c r="B13" s="131">
        <f t="shared" si="1"/>
        <v>9</v>
      </c>
      <c r="C13" s="129" t="str">
        <f t="shared" si="0"/>
        <v>Stato</v>
      </c>
      <c r="D13" s="107"/>
      <c r="E13" s="317"/>
      <c r="F13" s="310" t="s">
        <v>170</v>
      </c>
      <c r="G13" s="318" t="s">
        <v>552</v>
      </c>
      <c r="H13" s="319" t="s">
        <v>906</v>
      </c>
    </row>
    <row r="14" spans="1:8" ht="15" customHeight="1" x14ac:dyDescent="0.3">
      <c r="A14" s="132" t="s">
        <v>640</v>
      </c>
      <c r="B14" s="131">
        <f t="shared" si="1"/>
        <v>10</v>
      </c>
      <c r="C14" s="129" t="str">
        <f t="shared" si="0"/>
        <v>Pagina del titolo</v>
      </c>
      <c r="D14" s="107"/>
      <c r="E14" s="317"/>
      <c r="F14" s="310" t="s">
        <v>171</v>
      </c>
      <c r="G14" s="318" t="s">
        <v>616</v>
      </c>
      <c r="H14" s="319" t="s">
        <v>907</v>
      </c>
    </row>
    <row r="15" spans="1:8" ht="15" customHeight="1" x14ac:dyDescent="0.3">
      <c r="A15" s="132" t="s">
        <v>641</v>
      </c>
      <c r="B15" s="131">
        <f t="shared" si="1"/>
        <v>11</v>
      </c>
      <c r="C15" s="129" t="str">
        <f t="shared" si="0"/>
        <v>Indici del programma</v>
      </c>
      <c r="D15" s="107"/>
      <c r="E15" s="317"/>
      <c r="F15" s="310" t="s">
        <v>172</v>
      </c>
      <c r="G15" s="318" t="s">
        <v>776</v>
      </c>
      <c r="H15" s="319" t="s">
        <v>908</v>
      </c>
    </row>
    <row r="16" spans="1:8" ht="15" customHeight="1" x14ac:dyDescent="0.3">
      <c r="A16" s="132" t="s">
        <v>642</v>
      </c>
      <c r="B16" s="131">
        <f t="shared" si="1"/>
        <v>12</v>
      </c>
      <c r="C16" s="129" t="str">
        <f t="shared" si="0"/>
        <v>Descrittivo del programma</v>
      </c>
      <c r="D16" s="107"/>
      <c r="E16" s="317"/>
      <c r="F16" s="310" t="s">
        <v>173</v>
      </c>
      <c r="G16" s="318" t="s">
        <v>802</v>
      </c>
      <c r="H16" s="319" t="s">
        <v>909</v>
      </c>
    </row>
    <row r="17" spans="1:8" ht="15" customHeight="1" x14ac:dyDescent="0.3">
      <c r="A17" s="132" t="s">
        <v>643</v>
      </c>
      <c r="B17" s="131">
        <f t="shared" si="1"/>
        <v>13</v>
      </c>
      <c r="C17" s="129" t="str">
        <f t="shared" si="0"/>
        <v>Situazione iniziale</v>
      </c>
      <c r="D17" s="107"/>
      <c r="E17" s="317"/>
      <c r="F17" s="310" t="s">
        <v>174</v>
      </c>
      <c r="G17" s="318" t="s">
        <v>567</v>
      </c>
      <c r="H17" s="319" t="s">
        <v>910</v>
      </c>
    </row>
    <row r="18" spans="1:8" ht="15" customHeight="1" x14ac:dyDescent="0.3">
      <c r="A18" s="132" t="s">
        <v>644</v>
      </c>
      <c r="B18" s="131">
        <f t="shared" si="1"/>
        <v>14</v>
      </c>
      <c r="C18" s="129" t="str">
        <f t="shared" si="0"/>
        <v>Obiettivi e misure parte 1</v>
      </c>
      <c r="D18" s="107"/>
      <c r="E18" s="317"/>
      <c r="F18" s="310" t="s">
        <v>175</v>
      </c>
      <c r="G18" s="318" t="s">
        <v>835</v>
      </c>
      <c r="H18" s="319" t="s">
        <v>911</v>
      </c>
    </row>
    <row r="19" spans="1:8" ht="15" customHeight="1" x14ac:dyDescent="0.3">
      <c r="A19" s="132" t="s">
        <v>645</v>
      </c>
      <c r="B19" s="131">
        <f t="shared" si="1"/>
        <v>15</v>
      </c>
      <c r="C19" s="129" t="str">
        <f t="shared" si="0"/>
        <v>Obiettivi e misure parte 2</v>
      </c>
      <c r="D19" s="107"/>
      <c r="E19" s="317"/>
      <c r="F19" s="310" t="s">
        <v>176</v>
      </c>
      <c r="G19" s="318" t="s">
        <v>836</v>
      </c>
      <c r="H19" s="319" t="s">
        <v>912</v>
      </c>
    </row>
    <row r="20" spans="1:8" ht="15" customHeight="1" x14ac:dyDescent="0.3">
      <c r="A20" s="132" t="s">
        <v>646</v>
      </c>
      <c r="B20" s="131">
        <f t="shared" si="1"/>
        <v>16</v>
      </c>
      <c r="C20" s="129" t="str">
        <f t="shared" si="0"/>
        <v>Riepilogo della valutazione dell'efficacia</v>
      </c>
      <c r="D20" s="107"/>
      <c r="E20" s="320"/>
      <c r="F20" s="310" t="s">
        <v>177</v>
      </c>
      <c r="G20" s="318" t="s">
        <v>447</v>
      </c>
      <c r="H20" s="319" t="s">
        <v>913</v>
      </c>
    </row>
    <row r="21" spans="1:8" ht="15" customHeight="1" x14ac:dyDescent="0.3">
      <c r="A21" s="132" t="s">
        <v>647</v>
      </c>
      <c r="B21" s="131">
        <f t="shared" si="1"/>
        <v>17</v>
      </c>
      <c r="C21" s="129" t="str">
        <f t="shared" si="0"/>
        <v>Responsabile / Organizzazione</v>
      </c>
      <c r="D21" s="107"/>
      <c r="E21" s="317"/>
      <c r="F21" s="310" t="s">
        <v>178</v>
      </c>
      <c r="G21" s="318" t="s">
        <v>58</v>
      </c>
      <c r="H21" s="319" t="s">
        <v>914</v>
      </c>
    </row>
    <row r="22" spans="1:8" ht="15" customHeight="1" x14ac:dyDescent="0.3">
      <c r="A22" s="132" t="s">
        <v>648</v>
      </c>
      <c r="B22" s="131">
        <f t="shared" si="1"/>
        <v>18</v>
      </c>
      <c r="C22" s="129" t="str">
        <f t="shared" si="0"/>
        <v>Attuazione del programma / Comunicazione</v>
      </c>
      <c r="D22" s="107"/>
      <c r="E22" s="317"/>
      <c r="F22" s="310" t="s">
        <v>179</v>
      </c>
      <c r="G22" s="318" t="s">
        <v>59</v>
      </c>
      <c r="H22" s="319" t="s">
        <v>915</v>
      </c>
    </row>
    <row r="23" spans="1:8" ht="15" customHeight="1" x14ac:dyDescent="0.3">
      <c r="A23" s="132" t="s">
        <v>649</v>
      </c>
      <c r="B23" s="131">
        <f t="shared" si="1"/>
        <v>19</v>
      </c>
      <c r="C23" s="129" t="str">
        <f t="shared" si="0"/>
        <v>Scenario di budget / finanziamento</v>
      </c>
      <c r="D23" s="107"/>
      <c r="E23" s="317"/>
      <c r="F23" s="310" t="s">
        <v>893</v>
      </c>
      <c r="G23" s="318" t="s">
        <v>528</v>
      </c>
      <c r="H23" s="319" t="s">
        <v>916</v>
      </c>
    </row>
    <row r="24" spans="1:8" ht="15" customHeight="1" x14ac:dyDescent="0.3">
      <c r="A24" s="132" t="s">
        <v>650</v>
      </c>
      <c r="B24" s="131">
        <f t="shared" si="1"/>
        <v>20</v>
      </c>
      <c r="C24" s="129" t="str">
        <f t="shared" si="0"/>
        <v>Budget / Finanziamento (quantificazione)</v>
      </c>
      <c r="D24" s="107"/>
      <c r="E24" s="317"/>
      <c r="F24" s="310" t="s">
        <v>882</v>
      </c>
      <c r="G24" s="318" t="s">
        <v>529</v>
      </c>
      <c r="H24" s="319" t="s">
        <v>917</v>
      </c>
    </row>
    <row r="25" spans="1:8" ht="15" customHeight="1" x14ac:dyDescent="0.3">
      <c r="A25" s="132" t="s">
        <v>651</v>
      </c>
      <c r="B25" s="131">
        <f t="shared" si="1"/>
        <v>21</v>
      </c>
      <c r="C25" s="129" t="str">
        <f t="shared" si="0"/>
        <v>Rischi del programma</v>
      </c>
      <c r="D25" s="107"/>
      <c r="E25" s="317"/>
      <c r="F25" s="310" t="s">
        <v>181</v>
      </c>
      <c r="G25" s="318" t="s">
        <v>744</v>
      </c>
      <c r="H25" s="319" t="s">
        <v>918</v>
      </c>
    </row>
    <row r="26" spans="1:8" ht="15" customHeight="1" x14ac:dyDescent="0.3">
      <c r="A26" s="132" t="s">
        <v>78</v>
      </c>
      <c r="B26" s="131">
        <f t="shared" si="1"/>
        <v>22</v>
      </c>
      <c r="C26" s="129" t="str">
        <f t="shared" si="0"/>
        <v>Documentazione condizioni supplementari</v>
      </c>
      <c r="D26" s="107"/>
      <c r="E26" s="317"/>
      <c r="F26" s="310" t="s">
        <v>508</v>
      </c>
      <c r="G26" s="318" t="s">
        <v>745</v>
      </c>
      <c r="H26" s="319" t="s">
        <v>919</v>
      </c>
    </row>
    <row r="27" spans="1:8" ht="15" customHeight="1" x14ac:dyDescent="0.3">
      <c r="A27" s="132" t="s">
        <v>79</v>
      </c>
      <c r="B27" s="131">
        <f t="shared" si="1"/>
        <v>23</v>
      </c>
      <c r="C27" s="129" t="str">
        <f t="shared" si="0"/>
        <v>Addizionalità</v>
      </c>
      <c r="D27" s="107"/>
      <c r="E27" s="317"/>
      <c r="F27" s="310" t="s">
        <v>182</v>
      </c>
      <c r="G27" s="318" t="s">
        <v>549</v>
      </c>
      <c r="H27" s="319" t="s">
        <v>920</v>
      </c>
    </row>
    <row r="28" spans="1:8" ht="15" customHeight="1" x14ac:dyDescent="0.3">
      <c r="A28" s="132" t="s">
        <v>80</v>
      </c>
      <c r="B28" s="131">
        <f t="shared" si="1"/>
        <v>24</v>
      </c>
      <c r="C28" s="129" t="str">
        <f t="shared" si="0"/>
        <v>Consenso e osservazioni</v>
      </c>
      <c r="D28" s="107"/>
      <c r="E28" s="317"/>
      <c r="F28" s="310" t="s">
        <v>1451</v>
      </c>
      <c r="G28" s="318" t="s">
        <v>1450</v>
      </c>
      <c r="H28" s="319" t="s">
        <v>1452</v>
      </c>
    </row>
    <row r="29" spans="1:8" ht="15" customHeight="1" x14ac:dyDescent="0.3">
      <c r="A29" s="132" t="s">
        <v>81</v>
      </c>
      <c r="B29" s="131">
        <f t="shared" si="1"/>
        <v>25</v>
      </c>
      <c r="C29" s="129" t="str">
        <f t="shared" si="0"/>
        <v>Elenco degli allegati</v>
      </c>
      <c r="D29" s="107"/>
      <c r="E29" s="317"/>
      <c r="F29" s="310" t="s">
        <v>183</v>
      </c>
      <c r="G29" s="318" t="s">
        <v>599</v>
      </c>
      <c r="H29" s="319" t="s">
        <v>921</v>
      </c>
    </row>
    <row r="30" spans="1:8" ht="15" customHeight="1" x14ac:dyDescent="0.3">
      <c r="A30" s="132" t="s">
        <v>82</v>
      </c>
      <c r="B30" s="131">
        <f t="shared" si="1"/>
        <v>26</v>
      </c>
      <c r="C30" s="129" t="str">
        <f t="shared" si="0"/>
        <v>Osservazioni / suggerimenti</v>
      </c>
      <c r="D30" s="107"/>
      <c r="E30" s="317"/>
      <c r="F30" s="310" t="s">
        <v>184</v>
      </c>
      <c r="G30" s="318" t="s">
        <v>106</v>
      </c>
      <c r="H30" s="319" t="s">
        <v>922</v>
      </c>
    </row>
    <row r="31" spans="1:8" ht="15" customHeight="1" x14ac:dyDescent="0.3">
      <c r="A31" s="132" t="s">
        <v>83</v>
      </c>
      <c r="B31" s="131">
        <f t="shared" si="1"/>
        <v>27</v>
      </c>
      <c r="C31" s="129" t="str">
        <f t="shared" si="0"/>
        <v>Guida breve (formulario di proposta)</v>
      </c>
      <c r="D31" s="107"/>
      <c r="E31" s="317"/>
      <c r="F31" s="310" t="s">
        <v>185</v>
      </c>
      <c r="G31" s="318" t="s">
        <v>612</v>
      </c>
      <c r="H31" s="319" t="s">
        <v>923</v>
      </c>
    </row>
    <row r="32" spans="1:8" ht="15" customHeight="1" x14ac:dyDescent="0.3">
      <c r="A32" s="132" t="s">
        <v>84</v>
      </c>
      <c r="B32" s="131">
        <f t="shared" si="1"/>
        <v>28</v>
      </c>
      <c r="C32" s="129" t="str">
        <f t="shared" si="0"/>
        <v>Campi obbligatori</v>
      </c>
      <c r="D32" s="107"/>
      <c r="E32" s="317"/>
      <c r="F32" s="310" t="s">
        <v>186</v>
      </c>
      <c r="G32" s="318" t="s">
        <v>1279</v>
      </c>
      <c r="H32" s="319" t="s">
        <v>924</v>
      </c>
    </row>
    <row r="33" spans="1:8" ht="15" customHeight="1" x14ac:dyDescent="0.3">
      <c r="A33" s="132" t="s">
        <v>85</v>
      </c>
      <c r="B33" s="131">
        <f t="shared" si="1"/>
        <v>29</v>
      </c>
      <c r="C33" s="129" t="str">
        <f t="shared" si="0"/>
        <v>I campi con fondo grigio chiaro sono campi di immissione per testo e numeri. L'altezza delle righe va mantenuta.</v>
      </c>
      <c r="D33" s="107"/>
      <c r="E33" s="317"/>
      <c r="F33" s="310" t="s">
        <v>187</v>
      </c>
      <c r="G33" s="318" t="s">
        <v>870</v>
      </c>
      <c r="H33" s="319" t="s">
        <v>925</v>
      </c>
    </row>
    <row r="34" spans="1:8" ht="15" customHeight="1" x14ac:dyDescent="0.3">
      <c r="A34" s="132" t="s">
        <v>86</v>
      </c>
      <c r="B34" s="131">
        <f t="shared" si="1"/>
        <v>30</v>
      </c>
      <c r="C34" s="129" t="str">
        <f t="shared" si="0"/>
        <v>I campi con fondo celeste contengono i risultati dei calcoli e non possono essere influenzati. Le formule sono visibili per rendere comprensibili i calcoli.</v>
      </c>
      <c r="D34" s="107"/>
      <c r="E34" s="317"/>
      <c r="F34" s="310" t="s">
        <v>188</v>
      </c>
      <c r="G34" s="318" t="s">
        <v>653</v>
      </c>
      <c r="H34" s="319" t="s">
        <v>926</v>
      </c>
    </row>
    <row r="35" spans="1:8" ht="15" customHeight="1" x14ac:dyDescent="0.3">
      <c r="A35" s="132"/>
      <c r="B35" s="131">
        <f t="shared" si="1"/>
        <v>31</v>
      </c>
      <c r="C35" s="129" t="str">
        <f t="shared" si="0"/>
        <v>non compilare!!</v>
      </c>
      <c r="D35" s="107"/>
      <c r="E35" s="317"/>
      <c r="F35" s="310" t="s">
        <v>189</v>
      </c>
      <c r="G35" s="318" t="s">
        <v>100</v>
      </c>
      <c r="H35" s="319" t="s">
        <v>927</v>
      </c>
    </row>
    <row r="36" spans="1:8" ht="15" customHeight="1" x14ac:dyDescent="0.3">
      <c r="A36" s="132" t="s">
        <v>87</v>
      </c>
      <c r="B36" s="131">
        <f t="shared" si="1"/>
        <v>32</v>
      </c>
      <c r="C36" s="129" t="str">
        <f t="shared" si="0"/>
        <v>Il campo Stato nel menu o in alto in ogni pagina indica quali parti del formulario sono già state interamente compilate.  Se lo stato è rosso, significa che non sono stati compilati tutti i campi obbligatori.</v>
      </c>
      <c r="D36" s="107"/>
      <c r="E36" s="317"/>
      <c r="F36" s="310" t="s">
        <v>190</v>
      </c>
      <c r="G36" s="318" t="s">
        <v>0</v>
      </c>
      <c r="H36" s="319" t="s">
        <v>928</v>
      </c>
    </row>
    <row r="37" spans="1:8" ht="15" customHeight="1" x14ac:dyDescent="0.3">
      <c r="A37" s="132" t="s">
        <v>88</v>
      </c>
      <c r="B37" s="131">
        <f t="shared" si="1"/>
        <v>33</v>
      </c>
      <c r="C37" s="129" t="str">
        <f t="shared" si="0"/>
        <v>Non appena sono state inserite tutte le informazioni obbligatorie, lo stato diventa verde.</v>
      </c>
      <c r="D37" s="107"/>
      <c r="E37" s="317"/>
      <c r="F37" s="310" t="s">
        <v>191</v>
      </c>
      <c r="G37" s="318" t="s">
        <v>127</v>
      </c>
      <c r="H37" s="319" t="s">
        <v>929</v>
      </c>
    </row>
    <row r="38" spans="1:8" ht="15" customHeight="1" x14ac:dyDescent="0.3">
      <c r="A38" s="130" t="s">
        <v>662</v>
      </c>
      <c r="B38" s="131">
        <f t="shared" si="1"/>
        <v>34</v>
      </c>
      <c r="C38" s="129" t="str">
        <f t="shared" si="0"/>
        <v>Tutti i campi in cui l'inizio della riga ha il fondo arancione sono campi obbligatori e devono essere compilati.  Ci sono anche dei campi obbligatori dinamici che dipendono dalle risposte nel formulario.</v>
      </c>
      <c r="D38" s="107"/>
      <c r="E38" s="317"/>
      <c r="F38" s="310" t="s">
        <v>510</v>
      </c>
      <c r="G38" s="318" t="s">
        <v>509</v>
      </c>
      <c r="H38" s="319" t="s">
        <v>930</v>
      </c>
    </row>
    <row r="39" spans="1:8" ht="15" customHeight="1" x14ac:dyDescent="0.3">
      <c r="A39" s="132"/>
      <c r="B39" s="131">
        <f t="shared" si="1"/>
        <v>35</v>
      </c>
      <c r="C39" s="129">
        <f t="shared" si="0"/>
        <v>0</v>
      </c>
      <c r="D39" s="107"/>
      <c r="E39" s="317"/>
      <c r="F39" s="310"/>
      <c r="G39" s="318"/>
      <c r="H39" s="319"/>
    </row>
    <row r="40" spans="1:8" ht="15" customHeight="1" x14ac:dyDescent="0.3">
      <c r="A40" s="132" t="s">
        <v>654</v>
      </c>
      <c r="B40" s="131">
        <f>B39+1</f>
        <v>36</v>
      </c>
      <c r="C40" s="129" t="str">
        <f t="shared" si="0"/>
        <v>Il formulario di proposta riepiloga i punti principali del programma per la valutazione!</v>
      </c>
      <c r="D40" s="107"/>
      <c r="E40" s="317"/>
      <c r="F40" s="310" t="s">
        <v>192</v>
      </c>
      <c r="G40" s="318" t="s">
        <v>77</v>
      </c>
      <c r="H40" s="319" t="s">
        <v>931</v>
      </c>
    </row>
    <row r="41" spans="1:8" ht="15" customHeight="1" x14ac:dyDescent="0.3">
      <c r="A41" s="132" t="s">
        <v>742</v>
      </c>
      <c r="B41" s="131">
        <f t="shared" si="1"/>
        <v>37</v>
      </c>
      <c r="C41" s="129" t="str">
        <f t="shared" si="0"/>
        <v>Dal momento che i programmi possono essere molto diversi, il richiedente redige una descrizione completa del programma e trasmette i dati di riferimento del programma nel formulario di proposta del programma.</v>
      </c>
      <c r="D41" s="107"/>
      <c r="E41" s="317"/>
      <c r="F41" s="310" t="s">
        <v>193</v>
      </c>
      <c r="G41" s="318" t="s">
        <v>128</v>
      </c>
      <c r="H41" s="319" t="s">
        <v>932</v>
      </c>
    </row>
    <row r="42" spans="1:8" ht="15" customHeight="1" x14ac:dyDescent="0.3">
      <c r="A42" s="132" t="s">
        <v>89</v>
      </c>
      <c r="B42" s="131">
        <f t="shared" si="1"/>
        <v>38</v>
      </c>
      <c r="C42" s="129" t="str">
        <f t="shared" si="0"/>
        <v>I formulari non vanno compilati. Le informazioni vengono rilevate da altri fogli di calcolo.</v>
      </c>
      <c r="D42" s="107"/>
      <c r="E42" s="317"/>
      <c r="F42" s="310" t="s">
        <v>511</v>
      </c>
      <c r="G42" s="318" t="s">
        <v>129</v>
      </c>
      <c r="H42" s="319" t="s">
        <v>933</v>
      </c>
    </row>
    <row r="43" spans="1:8" ht="15" customHeight="1" x14ac:dyDescent="0.3">
      <c r="A43" s="132" t="s">
        <v>655</v>
      </c>
      <c r="B43" s="131">
        <f t="shared" si="1"/>
        <v>39</v>
      </c>
      <c r="C43" s="129" t="str">
        <f t="shared" si="0"/>
        <v>Guida breve alla procedura</v>
      </c>
      <c r="D43" s="107"/>
      <c r="E43" s="317"/>
      <c r="F43" s="310" t="s">
        <v>194</v>
      </c>
      <c r="G43" s="318" t="s">
        <v>607</v>
      </c>
      <c r="H43" s="319" t="s">
        <v>934</v>
      </c>
    </row>
    <row r="44" spans="1:8" ht="15" customHeight="1" x14ac:dyDescent="0.3">
      <c r="A44" s="132" t="s">
        <v>656</v>
      </c>
      <c r="B44" s="131">
        <f t="shared" si="1"/>
        <v>40</v>
      </c>
      <c r="C44" s="129" t="str">
        <f t="shared" si="0"/>
        <v>Avvertenze importanti prima di compilare una proposta.</v>
      </c>
      <c r="D44" s="107"/>
      <c r="E44" s="317"/>
      <c r="F44" s="310" t="s">
        <v>195</v>
      </c>
      <c r="G44" s="318" t="s">
        <v>130</v>
      </c>
      <c r="H44" s="319" t="s">
        <v>935</v>
      </c>
    </row>
    <row r="45" spans="1:8" ht="15" customHeight="1" x14ac:dyDescent="0.3">
      <c r="A45" s="132" t="s">
        <v>90</v>
      </c>
      <c r="B45" s="131">
        <f t="shared" si="1"/>
        <v>41</v>
      </c>
      <c r="C45" s="129" t="str">
        <f t="shared" si="0"/>
        <v>Prima di compilare la proposta, verificare se secondo la gara pubblica attuale il programma è ammesso all’asta (cfr. condizioni per la presentazione di programmi 2020, cap. 2).</v>
      </c>
      <c r="D45" s="107"/>
      <c r="E45" s="317"/>
      <c r="F45" s="310" t="s">
        <v>1911</v>
      </c>
      <c r="G45" s="318" t="s">
        <v>1912</v>
      </c>
      <c r="H45" s="319" t="s">
        <v>1913</v>
      </c>
    </row>
    <row r="46" spans="1:8" ht="15" customHeight="1" x14ac:dyDescent="0.3">
      <c r="A46" s="132" t="s">
        <v>869</v>
      </c>
      <c r="B46" s="131">
        <f t="shared" si="1"/>
        <v>42</v>
      </c>
      <c r="C46" s="129" t="str">
        <f t="shared" si="0"/>
        <v>Struttura della descrizione del programma (concetto del programma)</v>
      </c>
      <c r="D46" s="107"/>
      <c r="E46" s="317"/>
      <c r="F46" s="310" t="s">
        <v>1308</v>
      </c>
      <c r="G46" s="318" t="s">
        <v>1350</v>
      </c>
      <c r="H46" s="319" t="s">
        <v>1314</v>
      </c>
    </row>
    <row r="47" spans="1:8" ht="15" customHeight="1" x14ac:dyDescent="0.3">
      <c r="A47" s="132" t="s">
        <v>655</v>
      </c>
      <c r="B47" s="131">
        <f t="shared" si="1"/>
        <v>43</v>
      </c>
      <c r="C47" s="129" t="str">
        <f t="shared" si="0"/>
        <v>La struttura della richiesta da presentare per il programma comprende i capitoli previsti dal modello del concetto del programma.</v>
      </c>
      <c r="D47" s="107"/>
      <c r="E47" s="317"/>
      <c r="F47" s="310" t="s">
        <v>1555</v>
      </c>
      <c r="G47" s="318" t="s">
        <v>1599</v>
      </c>
      <c r="H47" s="319" t="s">
        <v>1545</v>
      </c>
    </row>
    <row r="48" spans="1:8" ht="15" customHeight="1" x14ac:dyDescent="0.3">
      <c r="A48" s="132" t="s">
        <v>656</v>
      </c>
      <c r="B48" s="131">
        <f t="shared" si="1"/>
        <v>44</v>
      </c>
      <c r="C48" s="129" t="str">
        <f t="shared" si="0"/>
        <v>1) Management summary</v>
      </c>
      <c r="D48" s="107"/>
      <c r="E48" s="317"/>
      <c r="F48" s="310" t="s">
        <v>196</v>
      </c>
      <c r="G48" s="318" t="s">
        <v>112</v>
      </c>
      <c r="H48" s="319" t="s">
        <v>112</v>
      </c>
    </row>
    <row r="49" spans="1:8" ht="15" customHeight="1" x14ac:dyDescent="0.3">
      <c r="A49" s="132" t="s">
        <v>657</v>
      </c>
      <c r="B49" s="131">
        <f t="shared" si="1"/>
        <v>45</v>
      </c>
      <c r="C49" s="129" t="str">
        <f t="shared" si="0"/>
        <v>2) Idea del programma</v>
      </c>
      <c r="D49" s="107"/>
      <c r="E49" s="317"/>
      <c r="F49" s="310" t="s">
        <v>197</v>
      </c>
      <c r="G49" s="318" t="s">
        <v>113</v>
      </c>
      <c r="H49" s="319" t="s">
        <v>936</v>
      </c>
    </row>
    <row r="50" spans="1:8" ht="15" customHeight="1" x14ac:dyDescent="0.3">
      <c r="A50" s="132" t="s">
        <v>91</v>
      </c>
      <c r="B50" s="131">
        <f t="shared" si="1"/>
        <v>46</v>
      </c>
      <c r="C50" s="129" t="str">
        <f t="shared" si="0"/>
        <v>3) Situazione iniziale</v>
      </c>
      <c r="D50" s="107"/>
      <c r="E50" s="317"/>
      <c r="F50" s="310" t="s">
        <v>198</v>
      </c>
      <c r="G50" s="318" t="s">
        <v>114</v>
      </c>
      <c r="H50" s="319" t="s">
        <v>937</v>
      </c>
    </row>
    <row r="51" spans="1:8" ht="15" customHeight="1" x14ac:dyDescent="0.3">
      <c r="A51" s="132" t="s">
        <v>658</v>
      </c>
      <c r="B51" s="131">
        <f t="shared" si="1"/>
        <v>47</v>
      </c>
      <c r="C51" s="129" t="str">
        <f t="shared" si="0"/>
        <v>4) Obiettivi e misure</v>
      </c>
      <c r="D51" s="107"/>
      <c r="E51" s="317"/>
      <c r="F51" s="310" t="s">
        <v>199</v>
      </c>
      <c r="G51" s="318" t="s">
        <v>115</v>
      </c>
      <c r="H51" s="319" t="s">
        <v>938</v>
      </c>
    </row>
    <row r="52" spans="1:8" ht="15" customHeight="1" x14ac:dyDescent="0.3">
      <c r="A52" s="132" t="s">
        <v>92</v>
      </c>
      <c r="B52" s="131">
        <f t="shared" si="1"/>
        <v>48</v>
      </c>
      <c r="C52" s="129" t="str">
        <f t="shared" si="0"/>
        <v>5) Organizzazione e finanziamento</v>
      </c>
      <c r="D52" s="107"/>
      <c r="E52" s="317"/>
      <c r="F52" s="310" t="s">
        <v>200</v>
      </c>
      <c r="G52" s="318" t="s">
        <v>116</v>
      </c>
      <c r="H52" s="319" t="s">
        <v>939</v>
      </c>
    </row>
    <row r="53" spans="1:8" ht="15" customHeight="1" x14ac:dyDescent="0.3">
      <c r="A53" s="132" t="s">
        <v>659</v>
      </c>
      <c r="B53" s="131">
        <f t="shared" si="1"/>
        <v>49</v>
      </c>
      <c r="C53" s="129" t="str">
        <f t="shared" si="0"/>
        <v>6) Monitoraggio</v>
      </c>
      <c r="D53" s="107"/>
      <c r="E53" s="317"/>
      <c r="F53" s="310" t="s">
        <v>201</v>
      </c>
      <c r="G53" s="318" t="s">
        <v>117</v>
      </c>
      <c r="H53" s="319" t="s">
        <v>940</v>
      </c>
    </row>
    <row r="54" spans="1:8" ht="15" customHeight="1" x14ac:dyDescent="0.3">
      <c r="A54" s="132" t="s">
        <v>93</v>
      </c>
      <c r="B54" s="131">
        <f t="shared" si="1"/>
        <v>50</v>
      </c>
      <c r="C54" s="129" t="str">
        <f t="shared" si="0"/>
        <v>7) Rischi del programma</v>
      </c>
      <c r="D54" s="107"/>
      <c r="E54" s="317"/>
      <c r="F54" s="310" t="s">
        <v>202</v>
      </c>
      <c r="G54" s="318" t="s">
        <v>118</v>
      </c>
      <c r="H54" s="319" t="s">
        <v>941</v>
      </c>
    </row>
    <row r="55" spans="1:8" ht="15" customHeight="1" x14ac:dyDescent="0.3">
      <c r="A55" s="130" t="s">
        <v>616</v>
      </c>
      <c r="B55" s="131">
        <f t="shared" si="1"/>
        <v>51</v>
      </c>
      <c r="C55" s="129" t="str">
        <f t="shared" si="0"/>
        <v>Facendo clic sul logo ProKilowatt si torna al menu.</v>
      </c>
      <c r="D55" s="107"/>
      <c r="E55" s="317"/>
      <c r="F55" s="310" t="s">
        <v>203</v>
      </c>
      <c r="G55" s="318" t="s">
        <v>131</v>
      </c>
      <c r="H55" s="319" t="s">
        <v>942</v>
      </c>
    </row>
    <row r="56" spans="1:8" ht="15" customHeight="1" x14ac:dyDescent="0.3">
      <c r="A56" s="132" t="s">
        <v>660</v>
      </c>
      <c r="B56" s="131">
        <f t="shared" si="1"/>
        <v>52</v>
      </c>
      <c r="C56" s="129" t="str">
        <f t="shared" si="0"/>
        <v>Su incarico dell'Ufficio federale dell'energia UFE</v>
      </c>
      <c r="D56" s="107"/>
      <c r="E56" s="317"/>
      <c r="F56" s="310" t="s">
        <v>204</v>
      </c>
      <c r="G56" s="318" t="s">
        <v>661</v>
      </c>
      <c r="H56" s="319" t="s">
        <v>943</v>
      </c>
    </row>
    <row r="57" spans="1:8" ht="15" customHeight="1" x14ac:dyDescent="0.3">
      <c r="A57" s="132" t="s">
        <v>663</v>
      </c>
      <c r="B57" s="131">
        <f t="shared" si="1"/>
        <v>53</v>
      </c>
      <c r="C57" s="129">
        <f t="shared" si="0"/>
        <v>0</v>
      </c>
      <c r="D57" s="107"/>
      <c r="E57" s="317"/>
      <c r="F57" s="310"/>
      <c r="G57" s="318"/>
      <c r="H57" s="319"/>
    </row>
    <row r="58" spans="1:8" ht="15" customHeight="1" x14ac:dyDescent="0.3">
      <c r="A58" s="132" t="s">
        <v>664</v>
      </c>
      <c r="B58" s="131">
        <f t="shared" si="1"/>
        <v>54</v>
      </c>
      <c r="C58" s="129" t="str">
        <f t="shared" si="0"/>
        <v>SA</v>
      </c>
      <c r="D58" s="107"/>
      <c r="E58" s="317"/>
      <c r="F58" s="310" t="s">
        <v>205</v>
      </c>
      <c r="G58" s="318" t="s">
        <v>555</v>
      </c>
      <c r="H58" s="319" t="s">
        <v>205</v>
      </c>
    </row>
    <row r="59" spans="1:8" ht="15" customHeight="1" x14ac:dyDescent="0.3">
      <c r="A59" s="132" t="s">
        <v>665</v>
      </c>
      <c r="B59" s="131">
        <f t="shared" si="1"/>
        <v>55</v>
      </c>
      <c r="C59" s="129" t="str">
        <f t="shared" si="0"/>
        <v>Srl</v>
      </c>
      <c r="D59" s="107"/>
      <c r="E59" s="317"/>
      <c r="F59" s="310" t="s">
        <v>206</v>
      </c>
      <c r="G59" s="318" t="s">
        <v>556</v>
      </c>
      <c r="H59" s="319" t="s">
        <v>944</v>
      </c>
    </row>
    <row r="60" spans="1:8" ht="15" customHeight="1" x14ac:dyDescent="0.3">
      <c r="A60" s="132" t="s">
        <v>666</v>
      </c>
      <c r="B60" s="131">
        <f t="shared" si="1"/>
        <v>56</v>
      </c>
      <c r="C60" s="129" t="str">
        <f t="shared" si="0"/>
        <v>Ditta individuale</v>
      </c>
      <c r="D60" s="107"/>
      <c r="E60" s="317"/>
      <c r="F60" s="310" t="s">
        <v>207</v>
      </c>
      <c r="G60" s="318" t="s">
        <v>557</v>
      </c>
      <c r="H60" s="319" t="s">
        <v>945</v>
      </c>
    </row>
    <row r="61" spans="1:8" ht="15" customHeight="1" x14ac:dyDescent="0.3">
      <c r="A61" s="132" t="s">
        <v>667</v>
      </c>
      <c r="B61" s="131">
        <f t="shared" si="1"/>
        <v>57</v>
      </c>
      <c r="C61" s="129" t="str">
        <f t="shared" si="0"/>
        <v xml:space="preserve">Ente di diritto pubblico </v>
      </c>
      <c r="D61" s="107"/>
      <c r="E61" s="317"/>
      <c r="F61" s="310" t="s">
        <v>209</v>
      </c>
      <c r="G61" s="318" t="s">
        <v>605</v>
      </c>
      <c r="H61" s="319" t="s">
        <v>947</v>
      </c>
    </row>
    <row r="62" spans="1:8" ht="15" customHeight="1" x14ac:dyDescent="0.3">
      <c r="A62" s="132" t="s">
        <v>668</v>
      </c>
      <c r="B62" s="131">
        <f t="shared" si="1"/>
        <v>58</v>
      </c>
      <c r="C62" s="129" t="str">
        <f t="shared" si="0"/>
        <v>altro</v>
      </c>
      <c r="D62" s="107"/>
      <c r="E62" s="317"/>
      <c r="F62" s="310" t="s">
        <v>210</v>
      </c>
      <c r="G62" s="318" t="s">
        <v>554</v>
      </c>
      <c r="H62" s="319" t="s">
        <v>948</v>
      </c>
    </row>
    <row r="63" spans="1:8" ht="15" customHeight="1" x14ac:dyDescent="0.3">
      <c r="A63" s="132" t="s">
        <v>669</v>
      </c>
      <c r="B63" s="131">
        <f t="shared" si="1"/>
        <v>59</v>
      </c>
      <c r="C63" s="129" t="str">
        <f t="shared" si="0"/>
        <v>Privato</v>
      </c>
      <c r="D63" s="107"/>
      <c r="E63" s="317"/>
      <c r="F63" s="310" t="s">
        <v>208</v>
      </c>
      <c r="G63" s="318" t="s">
        <v>606</v>
      </c>
      <c r="H63" s="319" t="s">
        <v>946</v>
      </c>
    </row>
    <row r="64" spans="1:8" ht="15" customHeight="1" x14ac:dyDescent="0.3">
      <c r="A64" s="132" t="s">
        <v>670</v>
      </c>
      <c r="B64" s="131">
        <f t="shared" si="1"/>
        <v>60</v>
      </c>
      <c r="C64" s="129" t="str">
        <f t="shared" si="0"/>
        <v>Sì</v>
      </c>
      <c r="D64" s="107"/>
      <c r="E64" s="317"/>
      <c r="F64" s="310" t="s">
        <v>211</v>
      </c>
      <c r="G64" s="318" t="s">
        <v>565</v>
      </c>
      <c r="H64" s="319" t="s">
        <v>949</v>
      </c>
    </row>
    <row r="65" spans="1:8" ht="15" customHeight="1" x14ac:dyDescent="0.3">
      <c r="A65" s="132" t="s">
        <v>671</v>
      </c>
      <c r="B65" s="131">
        <f t="shared" si="1"/>
        <v>61</v>
      </c>
      <c r="C65" s="129" t="str">
        <f t="shared" si="0"/>
        <v>No</v>
      </c>
      <c r="D65" s="107"/>
      <c r="E65" s="317"/>
      <c r="F65" s="310" t="s">
        <v>212</v>
      </c>
      <c r="G65" s="318" t="s">
        <v>566</v>
      </c>
      <c r="H65" s="319" t="s">
        <v>950</v>
      </c>
    </row>
    <row r="66" spans="1:8" ht="15" customHeight="1" x14ac:dyDescent="0.3">
      <c r="A66" s="132" t="s">
        <v>672</v>
      </c>
      <c r="B66" s="131">
        <f t="shared" si="1"/>
        <v>62</v>
      </c>
      <c r="C66" s="129" t="str">
        <f t="shared" si="0"/>
        <v>AG Argovia</v>
      </c>
      <c r="D66" s="107"/>
      <c r="E66" s="317"/>
      <c r="F66" s="310" t="s">
        <v>213</v>
      </c>
      <c r="G66" s="318" t="s">
        <v>568</v>
      </c>
      <c r="H66" s="319" t="s">
        <v>951</v>
      </c>
    </row>
    <row r="67" spans="1:8" ht="15" customHeight="1" x14ac:dyDescent="0.3">
      <c r="A67" s="132" t="s">
        <v>673</v>
      </c>
      <c r="B67" s="131">
        <f t="shared" si="1"/>
        <v>63</v>
      </c>
      <c r="C67" s="129" t="str">
        <f t="shared" si="0"/>
        <v>AI Appenzello Interno</v>
      </c>
      <c r="D67" s="107"/>
      <c r="E67" s="317"/>
      <c r="F67" s="310" t="s">
        <v>214</v>
      </c>
      <c r="G67" s="318" t="s">
        <v>591</v>
      </c>
      <c r="H67" s="319" t="s">
        <v>952</v>
      </c>
    </row>
    <row r="68" spans="1:8" ht="15" customHeight="1" x14ac:dyDescent="0.3">
      <c r="A68" s="132" t="s">
        <v>674</v>
      </c>
      <c r="B68" s="131">
        <f t="shared" si="1"/>
        <v>64</v>
      </c>
      <c r="C68" s="129" t="str">
        <f t="shared" si="0"/>
        <v>AR Appenzello Esterno</v>
      </c>
      <c r="D68" s="107"/>
      <c r="E68" s="317"/>
      <c r="F68" s="310" t="s">
        <v>215</v>
      </c>
      <c r="G68" s="318" t="s">
        <v>590</v>
      </c>
      <c r="H68" s="319" t="s">
        <v>953</v>
      </c>
    </row>
    <row r="69" spans="1:8" ht="15" customHeight="1" x14ac:dyDescent="0.3">
      <c r="A69" s="132" t="s">
        <v>675</v>
      </c>
      <c r="B69" s="131">
        <f t="shared" si="1"/>
        <v>65</v>
      </c>
      <c r="C69" s="129" t="str">
        <f t="shared" ref="C69:C132" si="2">IF($B$1="f",F69,IF($B$1="d",G69,H69))</f>
        <v>BL Basilea-Campagna</v>
      </c>
      <c r="D69" s="107"/>
      <c r="E69" s="317"/>
      <c r="F69" s="310" t="s">
        <v>216</v>
      </c>
      <c r="G69" s="318" t="s">
        <v>570</v>
      </c>
      <c r="H69" s="319" t="s">
        <v>954</v>
      </c>
    </row>
    <row r="70" spans="1:8" ht="15" customHeight="1" x14ac:dyDescent="0.3">
      <c r="A70" s="132" t="s">
        <v>676</v>
      </c>
      <c r="B70" s="131">
        <f t="shared" ref="B70:B133" si="3">B69+1</f>
        <v>66</v>
      </c>
      <c r="C70" s="129" t="str">
        <f t="shared" si="2"/>
        <v>BS Basilea-Città</v>
      </c>
      <c r="D70" s="107"/>
      <c r="E70" s="317"/>
      <c r="F70" s="310" t="s">
        <v>217</v>
      </c>
      <c r="G70" s="318" t="s">
        <v>569</v>
      </c>
      <c r="H70" s="319" t="s">
        <v>955</v>
      </c>
    </row>
    <row r="71" spans="1:8" ht="15" customHeight="1" x14ac:dyDescent="0.3">
      <c r="A71" s="132" t="s">
        <v>677</v>
      </c>
      <c r="B71" s="131">
        <f t="shared" si="3"/>
        <v>67</v>
      </c>
      <c r="C71" s="129" t="str">
        <f t="shared" si="2"/>
        <v>BE Berna</v>
      </c>
      <c r="D71" s="107"/>
      <c r="E71" s="317"/>
      <c r="F71" s="310" t="s">
        <v>218</v>
      </c>
      <c r="G71" s="318" t="s">
        <v>578</v>
      </c>
      <c r="H71" s="319" t="s">
        <v>956</v>
      </c>
    </row>
    <row r="72" spans="1:8" ht="15" customHeight="1" x14ac:dyDescent="0.3">
      <c r="A72" s="132" t="s">
        <v>678</v>
      </c>
      <c r="B72" s="131">
        <f t="shared" si="3"/>
        <v>68</v>
      </c>
      <c r="C72" s="129" t="str">
        <f t="shared" si="2"/>
        <v>FR Friburgo</v>
      </c>
      <c r="D72" s="107"/>
      <c r="E72" s="317"/>
      <c r="F72" s="310" t="s">
        <v>219</v>
      </c>
      <c r="G72" s="318" t="s">
        <v>576</v>
      </c>
      <c r="H72" s="319" t="s">
        <v>957</v>
      </c>
    </row>
    <row r="73" spans="1:8" ht="15" customHeight="1" x14ac:dyDescent="0.3">
      <c r="A73" s="132" t="s">
        <v>679</v>
      </c>
      <c r="B73" s="131">
        <f t="shared" si="3"/>
        <v>69</v>
      </c>
      <c r="C73" s="129" t="str">
        <f t="shared" si="2"/>
        <v>GE Ginevra</v>
      </c>
      <c r="D73" s="107"/>
      <c r="E73" s="317"/>
      <c r="F73" s="310" t="s">
        <v>220</v>
      </c>
      <c r="G73" s="318" t="s">
        <v>575</v>
      </c>
      <c r="H73" s="319" t="s">
        <v>958</v>
      </c>
    </row>
    <row r="74" spans="1:8" ht="15" customHeight="1" x14ac:dyDescent="0.3">
      <c r="A74" s="132" t="s">
        <v>680</v>
      </c>
      <c r="B74" s="131">
        <f t="shared" si="3"/>
        <v>70</v>
      </c>
      <c r="C74" s="129" t="str">
        <f t="shared" si="2"/>
        <v>GL Glarona</v>
      </c>
      <c r="D74" s="107"/>
      <c r="E74" s="317"/>
      <c r="F74" s="310" t="s">
        <v>221</v>
      </c>
      <c r="G74" s="318" t="s">
        <v>571</v>
      </c>
      <c r="H74" s="319" t="s">
        <v>959</v>
      </c>
    </row>
    <row r="75" spans="1:8" ht="15" customHeight="1" x14ac:dyDescent="0.3">
      <c r="A75" s="132" t="s">
        <v>681</v>
      </c>
      <c r="B75" s="131">
        <f t="shared" si="3"/>
        <v>71</v>
      </c>
      <c r="C75" s="129" t="str">
        <f t="shared" si="2"/>
        <v>GR Grigioni</v>
      </c>
      <c r="D75" s="107"/>
      <c r="E75" s="317"/>
      <c r="F75" s="310" t="s">
        <v>222</v>
      </c>
      <c r="G75" s="318" t="s">
        <v>581</v>
      </c>
      <c r="H75" s="319" t="s">
        <v>960</v>
      </c>
    </row>
    <row r="76" spans="1:8" ht="15" customHeight="1" x14ac:dyDescent="0.3">
      <c r="A76" s="132" t="s">
        <v>682</v>
      </c>
      <c r="B76" s="131">
        <f t="shared" si="3"/>
        <v>72</v>
      </c>
      <c r="C76" s="129" t="str">
        <f t="shared" si="2"/>
        <v>JU Giura</v>
      </c>
      <c r="D76" s="107"/>
      <c r="E76" s="317"/>
      <c r="F76" s="310" t="s">
        <v>585</v>
      </c>
      <c r="G76" s="318" t="s">
        <v>585</v>
      </c>
      <c r="H76" s="319" t="s">
        <v>961</v>
      </c>
    </row>
    <row r="77" spans="1:8" ht="15" customHeight="1" x14ac:dyDescent="0.3">
      <c r="A77" s="132" t="s">
        <v>683</v>
      </c>
      <c r="B77" s="131">
        <f t="shared" si="3"/>
        <v>73</v>
      </c>
      <c r="C77" s="129" t="str">
        <f t="shared" si="2"/>
        <v>LU Lucerna</v>
      </c>
      <c r="D77" s="107"/>
      <c r="E77" s="317"/>
      <c r="F77" s="310" t="s">
        <v>223</v>
      </c>
      <c r="G77" s="318" t="s">
        <v>582</v>
      </c>
      <c r="H77" s="319" t="s">
        <v>962</v>
      </c>
    </row>
    <row r="78" spans="1:8" ht="15" customHeight="1" x14ac:dyDescent="0.3">
      <c r="A78" s="132" t="s">
        <v>684</v>
      </c>
      <c r="B78" s="131">
        <f t="shared" si="3"/>
        <v>74</v>
      </c>
      <c r="C78" s="129" t="str">
        <f t="shared" si="2"/>
        <v>NE Neuchâtel</v>
      </c>
      <c r="D78" s="107"/>
      <c r="E78" s="317"/>
      <c r="F78" s="310" t="s">
        <v>224</v>
      </c>
      <c r="G78" s="318" t="s">
        <v>577</v>
      </c>
      <c r="H78" s="319" t="s">
        <v>224</v>
      </c>
    </row>
    <row r="79" spans="1:8" ht="15" customHeight="1" x14ac:dyDescent="0.3">
      <c r="A79" s="132" t="s">
        <v>685</v>
      </c>
      <c r="B79" s="131">
        <f t="shared" si="3"/>
        <v>75</v>
      </c>
      <c r="C79" s="129" t="str">
        <f t="shared" si="2"/>
        <v>NW Nidwaldo</v>
      </c>
      <c r="D79" s="107"/>
      <c r="E79" s="317"/>
      <c r="F79" s="310" t="s">
        <v>225</v>
      </c>
      <c r="G79" s="318" t="s">
        <v>587</v>
      </c>
      <c r="H79" s="319" t="s">
        <v>963</v>
      </c>
    </row>
    <row r="80" spans="1:8" ht="15" customHeight="1" x14ac:dyDescent="0.3">
      <c r="A80" s="132" t="s">
        <v>686</v>
      </c>
      <c r="B80" s="131">
        <f t="shared" si="3"/>
        <v>76</v>
      </c>
      <c r="C80" s="129" t="str">
        <f t="shared" si="2"/>
        <v>OW Obwaldo</v>
      </c>
      <c r="D80" s="107"/>
      <c r="E80" s="317"/>
      <c r="F80" s="310" t="s">
        <v>226</v>
      </c>
      <c r="G80" s="318" t="s">
        <v>588</v>
      </c>
      <c r="H80" s="319" t="s">
        <v>964</v>
      </c>
    </row>
    <row r="81" spans="1:8" ht="15" customHeight="1" x14ac:dyDescent="0.3">
      <c r="A81" s="132" t="s">
        <v>687</v>
      </c>
      <c r="B81" s="131">
        <f t="shared" si="3"/>
        <v>77</v>
      </c>
      <c r="C81" s="129" t="str">
        <f t="shared" si="2"/>
        <v>SH Sciaffusa</v>
      </c>
      <c r="D81" s="107"/>
      <c r="E81" s="317"/>
      <c r="F81" s="310" t="s">
        <v>227</v>
      </c>
      <c r="G81" s="318" t="s">
        <v>159</v>
      </c>
      <c r="H81" s="319" t="s">
        <v>965</v>
      </c>
    </row>
    <row r="82" spans="1:8" ht="15" customHeight="1" x14ac:dyDescent="0.3">
      <c r="A82" s="132" t="s">
        <v>688</v>
      </c>
      <c r="B82" s="131">
        <f t="shared" si="3"/>
        <v>78</v>
      </c>
      <c r="C82" s="129" t="str">
        <f t="shared" si="2"/>
        <v>SZ Svitto</v>
      </c>
      <c r="D82" s="107"/>
      <c r="E82" s="317"/>
      <c r="F82" s="310" t="s">
        <v>579</v>
      </c>
      <c r="G82" s="318" t="s">
        <v>579</v>
      </c>
      <c r="H82" s="319" t="s">
        <v>966</v>
      </c>
    </row>
    <row r="83" spans="1:8" ht="15" customHeight="1" x14ac:dyDescent="0.3">
      <c r="A83" s="132" t="s">
        <v>689</v>
      </c>
      <c r="B83" s="131">
        <f t="shared" si="3"/>
        <v>79</v>
      </c>
      <c r="C83" s="129" t="str">
        <f t="shared" si="2"/>
        <v>SO Soletta</v>
      </c>
      <c r="D83" s="107"/>
      <c r="E83" s="317"/>
      <c r="F83" s="310" t="s">
        <v>228</v>
      </c>
      <c r="G83" s="318" t="s">
        <v>583</v>
      </c>
      <c r="H83" s="319" t="s">
        <v>967</v>
      </c>
    </row>
    <row r="84" spans="1:8" ht="15" customHeight="1" x14ac:dyDescent="0.3">
      <c r="A84" s="132" t="s">
        <v>690</v>
      </c>
      <c r="B84" s="131">
        <f t="shared" si="3"/>
        <v>80</v>
      </c>
      <c r="C84" s="129" t="str">
        <f t="shared" si="2"/>
        <v xml:space="preserve">SG San Gallo </v>
      </c>
      <c r="D84" s="107"/>
      <c r="E84" s="317"/>
      <c r="F84" s="310" t="s">
        <v>229</v>
      </c>
      <c r="G84" s="318" t="s">
        <v>580</v>
      </c>
      <c r="H84" s="319" t="s">
        <v>968</v>
      </c>
    </row>
    <row r="85" spans="1:8" ht="15" customHeight="1" x14ac:dyDescent="0.3">
      <c r="A85" s="132" t="s">
        <v>691</v>
      </c>
      <c r="B85" s="131">
        <f t="shared" si="3"/>
        <v>81</v>
      </c>
      <c r="C85" s="129" t="str">
        <f t="shared" si="2"/>
        <v>TI Ticino</v>
      </c>
      <c r="D85" s="107"/>
      <c r="E85" s="317"/>
      <c r="F85" s="310" t="s">
        <v>584</v>
      </c>
      <c r="G85" s="318" t="s">
        <v>584</v>
      </c>
      <c r="H85" s="319" t="s">
        <v>969</v>
      </c>
    </row>
    <row r="86" spans="1:8" ht="15" customHeight="1" x14ac:dyDescent="0.3">
      <c r="A86" s="132" t="s">
        <v>692</v>
      </c>
      <c r="B86" s="131">
        <f t="shared" si="3"/>
        <v>82</v>
      </c>
      <c r="C86" s="129" t="str">
        <f t="shared" si="2"/>
        <v>TG Turgovia</v>
      </c>
      <c r="D86" s="107"/>
      <c r="E86" s="317"/>
      <c r="F86" s="310" t="s">
        <v>230</v>
      </c>
      <c r="G86" s="318" t="s">
        <v>1270</v>
      </c>
      <c r="H86" s="319" t="s">
        <v>970</v>
      </c>
    </row>
    <row r="87" spans="1:8" ht="15" customHeight="1" x14ac:dyDescent="0.3">
      <c r="A87" s="132" t="s">
        <v>693</v>
      </c>
      <c r="B87" s="131">
        <f t="shared" si="3"/>
        <v>83</v>
      </c>
      <c r="C87" s="129" t="str">
        <f t="shared" si="2"/>
        <v>UR Uri</v>
      </c>
      <c r="D87" s="107"/>
      <c r="E87" s="317"/>
      <c r="F87" s="310" t="s">
        <v>589</v>
      </c>
      <c r="G87" s="318" t="s">
        <v>589</v>
      </c>
      <c r="H87" s="319" t="s">
        <v>589</v>
      </c>
    </row>
    <row r="88" spans="1:8" ht="15" customHeight="1" x14ac:dyDescent="0.3">
      <c r="A88" s="132" t="s">
        <v>694</v>
      </c>
      <c r="B88" s="131">
        <f t="shared" si="3"/>
        <v>84</v>
      </c>
      <c r="C88" s="129" t="str">
        <f t="shared" si="2"/>
        <v>VD Vaud</v>
      </c>
      <c r="D88" s="107"/>
      <c r="E88" s="317"/>
      <c r="F88" s="310" t="s">
        <v>231</v>
      </c>
      <c r="G88" s="318" t="s">
        <v>574</v>
      </c>
      <c r="H88" s="319" t="s">
        <v>231</v>
      </c>
    </row>
    <row r="89" spans="1:8" ht="15" customHeight="1" x14ac:dyDescent="0.3">
      <c r="A89" s="132" t="s">
        <v>695</v>
      </c>
      <c r="B89" s="131">
        <f t="shared" si="3"/>
        <v>85</v>
      </c>
      <c r="C89" s="129" t="str">
        <f t="shared" si="2"/>
        <v>VS Vallese</v>
      </c>
      <c r="D89" s="107"/>
      <c r="E89" s="317"/>
      <c r="F89" s="310" t="s">
        <v>232</v>
      </c>
      <c r="G89" s="318" t="s">
        <v>573</v>
      </c>
      <c r="H89" s="319" t="s">
        <v>971</v>
      </c>
    </row>
    <row r="90" spans="1:8" ht="15" customHeight="1" x14ac:dyDescent="0.3">
      <c r="A90" s="132" t="s">
        <v>696</v>
      </c>
      <c r="B90" s="131">
        <f t="shared" si="3"/>
        <v>86</v>
      </c>
      <c r="C90" s="129" t="str">
        <f t="shared" si="2"/>
        <v>ZG Zugo</v>
      </c>
      <c r="D90" s="107"/>
      <c r="E90" s="317"/>
      <c r="F90" s="310" t="s">
        <v>233</v>
      </c>
      <c r="G90" s="318" t="s">
        <v>572</v>
      </c>
      <c r="H90" s="319" t="s">
        <v>972</v>
      </c>
    </row>
    <row r="91" spans="1:8" ht="15" customHeight="1" x14ac:dyDescent="0.3">
      <c r="A91" s="132" t="s">
        <v>697</v>
      </c>
      <c r="B91" s="131">
        <f t="shared" si="3"/>
        <v>87</v>
      </c>
      <c r="C91" s="129" t="str">
        <f t="shared" si="2"/>
        <v>ZH Zurigo</v>
      </c>
      <c r="D91" s="107"/>
      <c r="E91" s="317"/>
      <c r="F91" s="310" t="s">
        <v>234</v>
      </c>
      <c r="G91" s="318" t="s">
        <v>586</v>
      </c>
      <c r="H91" s="319" t="s">
        <v>973</v>
      </c>
    </row>
    <row r="92" spans="1:8" ht="15" customHeight="1" x14ac:dyDescent="0.3">
      <c r="A92" s="132" t="s">
        <v>698</v>
      </c>
      <c r="B92" s="131">
        <f t="shared" si="3"/>
        <v>88</v>
      </c>
      <c r="C92" s="129" t="str">
        <f t="shared" si="2"/>
        <v>nessuno</v>
      </c>
      <c r="D92" s="107"/>
      <c r="E92" s="317"/>
      <c r="F92" s="310" t="s">
        <v>235</v>
      </c>
      <c r="G92" s="318" t="s">
        <v>609</v>
      </c>
      <c r="H92" s="319" t="s">
        <v>974</v>
      </c>
    </row>
    <row r="93" spans="1:8" ht="15" customHeight="1" x14ac:dyDescent="0.3">
      <c r="A93" s="132" t="s">
        <v>699</v>
      </c>
      <c r="B93" s="131">
        <f t="shared" si="3"/>
        <v>89</v>
      </c>
      <c r="C93" s="129" t="str">
        <f t="shared" si="2"/>
        <v>AenEC</v>
      </c>
      <c r="D93" s="107"/>
      <c r="E93" s="317"/>
      <c r="F93" s="310" t="s">
        <v>236</v>
      </c>
      <c r="G93" s="318" t="s">
        <v>608</v>
      </c>
      <c r="H93" s="319" t="s">
        <v>975</v>
      </c>
    </row>
    <row r="94" spans="1:8" ht="15" customHeight="1" x14ac:dyDescent="0.3">
      <c r="A94" s="132" t="s">
        <v>700</v>
      </c>
      <c r="B94" s="131">
        <f t="shared" si="3"/>
        <v>90</v>
      </c>
      <c r="C94" s="129" t="str">
        <f t="shared" si="2"/>
        <v xml:space="preserve">Convenzione cantonale </v>
      </c>
      <c r="D94" s="107"/>
      <c r="E94" s="317"/>
      <c r="F94" s="310" t="s">
        <v>237</v>
      </c>
      <c r="G94" s="318" t="s">
        <v>611</v>
      </c>
      <c r="H94" s="319" t="s">
        <v>976</v>
      </c>
    </row>
    <row r="95" spans="1:8" ht="15" customHeight="1" x14ac:dyDescent="0.3">
      <c r="A95" s="132"/>
      <c r="B95" s="131">
        <f t="shared" si="3"/>
        <v>91</v>
      </c>
      <c r="C95" s="129">
        <f t="shared" si="2"/>
        <v>0</v>
      </c>
      <c r="D95" s="107"/>
      <c r="E95" s="317"/>
      <c r="F95" s="310"/>
      <c r="G95" s="318"/>
      <c r="H95" s="319"/>
    </row>
    <row r="96" spans="1:8" ht="15" customHeight="1" x14ac:dyDescent="0.3">
      <c r="A96" s="132" t="s">
        <v>747</v>
      </c>
      <c r="B96" s="131">
        <f t="shared" si="3"/>
        <v>92</v>
      </c>
      <c r="C96" s="129">
        <f t="shared" si="2"/>
        <v>0</v>
      </c>
      <c r="D96" s="107"/>
      <c r="E96" s="317"/>
      <c r="F96" s="310"/>
      <c r="G96" s="318"/>
      <c r="H96" s="319"/>
    </row>
    <row r="97" spans="1:8" ht="15" customHeight="1" x14ac:dyDescent="0.3">
      <c r="A97" s="132"/>
      <c r="B97" s="131">
        <f t="shared" si="3"/>
        <v>93</v>
      </c>
      <c r="C97" s="129" t="str">
        <f t="shared" si="2"/>
        <v>Nazionale</v>
      </c>
      <c r="D97" s="107"/>
      <c r="E97" s="317"/>
      <c r="F97" s="310" t="s">
        <v>238</v>
      </c>
      <c r="G97" s="318" t="s">
        <v>748</v>
      </c>
      <c r="H97" s="319" t="s">
        <v>977</v>
      </c>
    </row>
    <row r="98" spans="1:8" ht="15" customHeight="1" x14ac:dyDescent="0.3">
      <c r="A98" s="132"/>
      <c r="B98" s="131">
        <f t="shared" si="3"/>
        <v>94</v>
      </c>
      <c r="C98" s="129" t="str">
        <f t="shared" si="2"/>
        <v>Regionale</v>
      </c>
      <c r="D98" s="107"/>
      <c r="E98" s="317"/>
      <c r="F98" s="310" t="s">
        <v>239</v>
      </c>
      <c r="G98" s="318" t="s">
        <v>749</v>
      </c>
      <c r="H98" s="319" t="s">
        <v>978</v>
      </c>
    </row>
    <row r="99" spans="1:8" ht="15" customHeight="1" x14ac:dyDescent="0.3">
      <c r="A99" s="132"/>
      <c r="B99" s="131">
        <f t="shared" si="3"/>
        <v>95</v>
      </c>
      <c r="C99" s="129" t="str">
        <f t="shared" si="2"/>
        <v>Cantonale</v>
      </c>
      <c r="D99" s="107"/>
      <c r="E99" s="317"/>
      <c r="F99" s="310" t="s">
        <v>240</v>
      </c>
      <c r="G99" s="318" t="s">
        <v>750</v>
      </c>
      <c r="H99" s="319" t="s">
        <v>240</v>
      </c>
    </row>
    <row r="100" spans="1:8" ht="15" customHeight="1" x14ac:dyDescent="0.3">
      <c r="A100" s="132"/>
      <c r="B100" s="131">
        <f t="shared" si="3"/>
        <v>96</v>
      </c>
      <c r="C100" s="129" t="str">
        <f t="shared" si="2"/>
        <v>Locale</v>
      </c>
      <c r="D100" s="107"/>
      <c r="E100" s="317"/>
      <c r="F100" s="310" t="s">
        <v>241</v>
      </c>
      <c r="G100" s="318" t="s">
        <v>751</v>
      </c>
      <c r="H100" s="319" t="s">
        <v>241</v>
      </c>
    </row>
    <row r="101" spans="1:8" ht="15" customHeight="1" x14ac:dyDescent="0.3">
      <c r="A101" s="130" t="s">
        <v>616</v>
      </c>
      <c r="B101" s="131">
        <f t="shared" si="3"/>
        <v>97</v>
      </c>
      <c r="C101" s="129">
        <f t="shared" si="2"/>
        <v>0</v>
      </c>
      <c r="D101" s="107"/>
      <c r="E101" s="317"/>
      <c r="F101" s="310"/>
      <c r="G101" s="318"/>
      <c r="H101" s="319"/>
    </row>
    <row r="102" spans="1:8" ht="15" customHeight="1" x14ac:dyDescent="0.3">
      <c r="A102" s="133" t="s">
        <v>851</v>
      </c>
      <c r="B102" s="131">
        <f t="shared" si="3"/>
        <v>98</v>
      </c>
      <c r="C102" s="129" t="str">
        <f t="shared" si="2"/>
        <v>Numero del programma</v>
      </c>
      <c r="D102" s="107"/>
      <c r="E102" s="317"/>
      <c r="F102" s="310" t="s">
        <v>242</v>
      </c>
      <c r="G102" s="318" t="s">
        <v>820</v>
      </c>
      <c r="H102" s="319" t="s">
        <v>979</v>
      </c>
    </row>
    <row r="103" spans="1:8" ht="15" customHeight="1" x14ac:dyDescent="0.3">
      <c r="A103" s="133" t="s">
        <v>652</v>
      </c>
      <c r="B103" s="131">
        <f t="shared" si="3"/>
        <v>99</v>
      </c>
      <c r="C103" s="129" t="str">
        <f t="shared" si="2"/>
        <v>Controllo della completezza</v>
      </c>
      <c r="D103" s="107"/>
      <c r="E103" s="317"/>
      <c r="F103" s="310" t="s">
        <v>875</v>
      </c>
      <c r="G103" s="318" t="s">
        <v>816</v>
      </c>
      <c r="H103" s="319" t="s">
        <v>980</v>
      </c>
    </row>
    <row r="104" spans="1:8" ht="15" customHeight="1" x14ac:dyDescent="0.3">
      <c r="A104" s="133" t="s">
        <v>864</v>
      </c>
      <c r="B104" s="131">
        <f t="shared" si="3"/>
        <v>100</v>
      </c>
      <c r="C104" s="129" t="str">
        <f t="shared" si="2"/>
        <v>Referente</v>
      </c>
      <c r="D104" s="107"/>
      <c r="E104" s="317"/>
      <c r="F104" s="310" t="s">
        <v>243</v>
      </c>
      <c r="G104" s="318" t="s">
        <v>819</v>
      </c>
      <c r="H104" s="319" t="s">
        <v>981</v>
      </c>
    </row>
    <row r="105" spans="1:8" ht="15" customHeight="1" x14ac:dyDescent="0.3">
      <c r="A105" s="133"/>
      <c r="B105" s="131">
        <f t="shared" si="3"/>
        <v>101</v>
      </c>
      <c r="C105" s="129">
        <f t="shared" si="2"/>
        <v>0</v>
      </c>
      <c r="D105" s="107"/>
      <c r="E105" s="317"/>
      <c r="F105" s="310"/>
      <c r="G105" s="318"/>
      <c r="H105" s="319"/>
    </row>
    <row r="106" spans="1:8" ht="15" customHeight="1" x14ac:dyDescent="0.3">
      <c r="A106" s="130" t="s">
        <v>776</v>
      </c>
      <c r="B106" s="131">
        <f t="shared" si="3"/>
        <v>102</v>
      </c>
      <c r="C106" s="129">
        <f t="shared" si="2"/>
        <v>0</v>
      </c>
      <c r="D106" s="107"/>
      <c r="E106" s="317"/>
      <c r="F106" s="310"/>
      <c r="G106" s="318"/>
      <c r="H106" s="319"/>
    </row>
    <row r="107" spans="1:8" ht="15" customHeight="1" x14ac:dyDescent="0.3">
      <c r="A107" s="133" t="s">
        <v>94</v>
      </c>
      <c r="B107" s="131">
        <f t="shared" si="3"/>
        <v>103</v>
      </c>
      <c r="C107" s="129" t="str">
        <f t="shared" si="2"/>
        <v>Stato</v>
      </c>
      <c r="D107" s="107"/>
      <c r="E107" s="317"/>
      <c r="F107" s="310" t="s">
        <v>170</v>
      </c>
      <c r="G107" s="318" t="s">
        <v>552</v>
      </c>
      <c r="H107" s="319" t="s">
        <v>906</v>
      </c>
    </row>
    <row r="108" spans="1:8" ht="15" customHeight="1" x14ac:dyDescent="0.3">
      <c r="A108" s="133" t="s">
        <v>637</v>
      </c>
      <c r="B108" s="131">
        <f t="shared" si="3"/>
        <v>104</v>
      </c>
      <c r="C108" s="129" t="str">
        <f t="shared" si="2"/>
        <v>Indici del programma</v>
      </c>
      <c r="D108" s="107"/>
      <c r="E108" s="317"/>
      <c r="F108" s="310" t="s">
        <v>172</v>
      </c>
      <c r="G108" s="318" t="s">
        <v>776</v>
      </c>
      <c r="H108" s="319" t="s">
        <v>908</v>
      </c>
    </row>
    <row r="109" spans="1:8" ht="15" customHeight="1" x14ac:dyDescent="0.3">
      <c r="A109" s="133"/>
      <c r="B109" s="131">
        <f t="shared" si="3"/>
        <v>105</v>
      </c>
      <c r="C109" s="129" t="str">
        <f t="shared" si="2"/>
        <v>Durata programma</v>
      </c>
      <c r="D109" s="107"/>
      <c r="E109" s="317"/>
      <c r="F109" s="310" t="s">
        <v>876</v>
      </c>
      <c r="G109" s="318" t="s">
        <v>522</v>
      </c>
      <c r="H109" s="319" t="s">
        <v>982</v>
      </c>
    </row>
    <row r="110" spans="1:8" ht="15" customHeight="1" x14ac:dyDescent="0.3">
      <c r="A110" s="133"/>
      <c r="B110" s="131">
        <f t="shared" si="3"/>
        <v>106</v>
      </c>
      <c r="C110" s="129" t="str">
        <f t="shared" si="2"/>
        <v>Mese(i)</v>
      </c>
      <c r="D110" s="107"/>
      <c r="E110" s="317"/>
      <c r="F110" s="310" t="s">
        <v>524</v>
      </c>
      <c r="G110" s="318" t="s">
        <v>523</v>
      </c>
      <c r="H110" s="319" t="s">
        <v>983</v>
      </c>
    </row>
    <row r="111" spans="1:8" ht="15" customHeight="1" x14ac:dyDescent="0.3">
      <c r="A111" s="133"/>
      <c r="B111" s="131">
        <f t="shared" si="3"/>
        <v>107</v>
      </c>
      <c r="C111" s="129" t="str">
        <f t="shared" si="2"/>
        <v>Consumo di elettricità senza programma</v>
      </c>
      <c r="D111" s="107"/>
      <c r="E111" s="317"/>
      <c r="F111" s="310" t="s">
        <v>1850</v>
      </c>
      <c r="G111" s="318" t="s">
        <v>1852</v>
      </c>
      <c r="H111" s="319" t="s">
        <v>1851</v>
      </c>
    </row>
    <row r="112" spans="1:8" ht="15" customHeight="1" x14ac:dyDescent="0.3">
      <c r="A112" s="133"/>
      <c r="B112" s="131">
        <f t="shared" si="3"/>
        <v>108</v>
      </c>
      <c r="C112" s="129" t="str">
        <f t="shared" si="2"/>
        <v>Ø Evoluzione in kWh/anno per unità (medie)</v>
      </c>
      <c r="D112" s="107"/>
      <c r="E112" s="317"/>
      <c r="F112" s="310" t="s">
        <v>1577</v>
      </c>
      <c r="G112" s="318" t="s">
        <v>1572</v>
      </c>
      <c r="H112" s="319" t="s">
        <v>1578</v>
      </c>
    </row>
    <row r="113" spans="1:8" ht="15" customHeight="1" x14ac:dyDescent="0.3">
      <c r="A113" s="133"/>
      <c r="B113" s="131">
        <f t="shared" si="3"/>
        <v>109</v>
      </c>
      <c r="C113" s="129" t="str">
        <f t="shared" si="2"/>
        <v>Ø Tariffa dell'elettricità (IVA inclusa)</v>
      </c>
      <c r="D113" s="107"/>
      <c r="E113" s="317"/>
      <c r="F113" s="310" t="s">
        <v>1626</v>
      </c>
      <c r="G113" s="318" t="s">
        <v>1750</v>
      </c>
      <c r="H113" s="319" t="s">
        <v>1751</v>
      </c>
    </row>
    <row r="114" spans="1:8" ht="15" customHeight="1" x14ac:dyDescent="0.3">
      <c r="A114" s="133"/>
      <c r="B114" s="131">
        <f t="shared" si="3"/>
        <v>110</v>
      </c>
      <c r="C114" s="129" t="str">
        <f t="shared" si="2"/>
        <v>Ø Durata di utilizzo</v>
      </c>
      <c r="D114" s="107"/>
      <c r="E114" s="317"/>
      <c r="F114" s="310" t="s">
        <v>244</v>
      </c>
      <c r="G114" s="318" t="s">
        <v>837</v>
      </c>
      <c r="H114" s="319" t="s">
        <v>984</v>
      </c>
    </row>
    <row r="115" spans="1:8" ht="15" customHeight="1" x14ac:dyDescent="0.3">
      <c r="A115" s="133"/>
      <c r="B115" s="131">
        <f t="shared" si="3"/>
        <v>111</v>
      </c>
      <c r="C115" s="129" t="str">
        <f t="shared" si="2"/>
        <v>Consumo di elettricità complessivo senza programma</v>
      </c>
      <c r="D115" s="107"/>
      <c r="E115" s="317"/>
      <c r="F115" s="310" t="s">
        <v>1574</v>
      </c>
      <c r="G115" s="318" t="s">
        <v>1573</v>
      </c>
      <c r="H115" s="319" t="s">
        <v>1579</v>
      </c>
    </row>
    <row r="116" spans="1:8" ht="15" customHeight="1" x14ac:dyDescent="0.3">
      <c r="A116" s="133"/>
      <c r="B116" s="131">
        <f t="shared" si="3"/>
        <v>112</v>
      </c>
      <c r="C116" s="129" t="str">
        <f t="shared" si="2"/>
        <v>Consumo di elettricità complessivo con programma</v>
      </c>
      <c r="D116" s="107"/>
      <c r="E116" s="317"/>
      <c r="F116" s="310" t="s">
        <v>1576</v>
      </c>
      <c r="G116" s="318" t="s">
        <v>1575</v>
      </c>
      <c r="H116" s="319" t="s">
        <v>1580</v>
      </c>
    </row>
    <row r="117" spans="1:8" ht="15" customHeight="1" x14ac:dyDescent="0.3">
      <c r="A117" s="133"/>
      <c r="B117" s="131">
        <f t="shared" si="3"/>
        <v>113</v>
      </c>
      <c r="C117" s="129" t="str">
        <f t="shared" si="2"/>
        <v>Risparmi di energia elettrica previsti</v>
      </c>
      <c r="D117" s="107"/>
      <c r="E117" s="317"/>
      <c r="F117" s="310" t="s">
        <v>245</v>
      </c>
      <c r="G117" s="318" t="s">
        <v>38</v>
      </c>
      <c r="H117" s="319" t="s">
        <v>985</v>
      </c>
    </row>
    <row r="118" spans="1:8" ht="15" customHeight="1" x14ac:dyDescent="0.3">
      <c r="A118" s="133"/>
      <c r="B118" s="131">
        <f t="shared" si="3"/>
        <v>114</v>
      </c>
      <c r="C118" s="129" t="str">
        <f t="shared" si="2"/>
        <v>Distribuzione dei risparmi sulla durata del programma</v>
      </c>
      <c r="D118" s="107"/>
      <c r="E118" s="317"/>
      <c r="F118" s="310" t="s">
        <v>894</v>
      </c>
      <c r="G118" s="318" t="s">
        <v>532</v>
      </c>
      <c r="H118" s="319" t="s">
        <v>986</v>
      </c>
    </row>
    <row r="119" spans="1:8" ht="15" customHeight="1" x14ac:dyDescent="0.3">
      <c r="A119" s="133"/>
      <c r="B119" s="131">
        <f t="shared" si="3"/>
        <v>115</v>
      </c>
      <c r="C119" s="129" t="str">
        <f t="shared" si="2"/>
        <v>Ø Risparmio in kWh/anno</v>
      </c>
      <c r="D119" s="107"/>
      <c r="E119" s="317"/>
      <c r="F119" s="310" t="s">
        <v>246</v>
      </c>
      <c r="G119" s="318" t="s">
        <v>74</v>
      </c>
      <c r="H119" s="319" t="s">
        <v>987</v>
      </c>
    </row>
    <row r="120" spans="1:8" ht="15" customHeight="1" x14ac:dyDescent="0.3">
      <c r="A120" s="133"/>
      <c r="B120" s="131">
        <f t="shared" si="3"/>
        <v>116</v>
      </c>
      <c r="C120" s="129" t="str">
        <f t="shared" si="2"/>
        <v>Risparmio di energia elettrica accumulato computabile</v>
      </c>
      <c r="D120" s="107"/>
      <c r="E120" s="317"/>
      <c r="F120" s="310" t="s">
        <v>1871</v>
      </c>
      <c r="G120" s="318" t="s">
        <v>1872</v>
      </c>
      <c r="H120" s="319" t="s">
        <v>1873</v>
      </c>
    </row>
    <row r="121" spans="1:8" ht="15" customHeight="1" x14ac:dyDescent="0.3">
      <c r="A121" s="133"/>
      <c r="B121" s="131">
        <f t="shared" si="3"/>
        <v>117</v>
      </c>
      <c r="C121" s="129" t="str">
        <f t="shared" si="2"/>
        <v>Costi programma</v>
      </c>
      <c r="D121" s="107"/>
      <c r="E121" s="317"/>
      <c r="F121" s="310" t="s">
        <v>247</v>
      </c>
      <c r="G121" s="318" t="s">
        <v>770</v>
      </c>
      <c r="H121" s="319" t="s">
        <v>988</v>
      </c>
    </row>
    <row r="122" spans="1:8" ht="15" customHeight="1" x14ac:dyDescent="0.3">
      <c r="A122" s="133"/>
      <c r="B122" s="131">
        <f t="shared" si="3"/>
        <v>118</v>
      </c>
      <c r="C122" s="129" t="str">
        <f t="shared" si="2"/>
        <v>Costi di gestione e comunicazione</v>
      </c>
      <c r="D122" s="107"/>
      <c r="E122" s="317"/>
      <c r="F122" s="310" t="s">
        <v>1309</v>
      </c>
      <c r="G122" s="318" t="s">
        <v>1296</v>
      </c>
      <c r="H122" s="319" t="s">
        <v>1315</v>
      </c>
    </row>
    <row r="123" spans="1:8" ht="15" customHeight="1" x14ac:dyDescent="0.3">
      <c r="A123" s="133"/>
      <c r="B123" s="131">
        <f t="shared" si="3"/>
        <v>119</v>
      </c>
      <c r="C123" s="129" t="str">
        <f t="shared" si="2"/>
        <v>Costi dipendenti dall'attuazione</v>
      </c>
      <c r="D123" s="107"/>
      <c r="E123" s="317"/>
      <c r="F123" s="310" t="s">
        <v>895</v>
      </c>
      <c r="G123" s="318" t="s">
        <v>537</v>
      </c>
      <c r="H123" s="319" t="s">
        <v>989</v>
      </c>
    </row>
    <row r="124" spans="1:8" ht="15" customHeight="1" x14ac:dyDescent="0.3">
      <c r="A124" s="133"/>
      <c r="B124" s="131">
        <f t="shared" si="3"/>
        <v>120</v>
      </c>
      <c r="C124" s="129" t="str">
        <f t="shared" si="2"/>
        <v>Contributi finanziamento, altri</v>
      </c>
      <c r="D124" s="107"/>
      <c r="E124" s="317"/>
      <c r="F124" s="310" t="s">
        <v>248</v>
      </c>
      <c r="G124" s="318" t="s">
        <v>122</v>
      </c>
      <c r="H124" s="319" t="s">
        <v>990</v>
      </c>
    </row>
    <row r="125" spans="1:8" ht="15" customHeight="1" x14ac:dyDescent="0.3">
      <c r="A125" s="133"/>
      <c r="B125" s="131">
        <f t="shared" si="3"/>
        <v>121</v>
      </c>
      <c r="C125" s="129" t="str">
        <f t="shared" si="2"/>
        <v>Contributo di incentivazione Prokilowatt (IVA inclusa)</v>
      </c>
      <c r="D125" s="107"/>
      <c r="E125" s="317"/>
      <c r="F125" s="310" t="s">
        <v>1628</v>
      </c>
      <c r="G125" s="318" t="s">
        <v>1752</v>
      </c>
      <c r="H125" s="319" t="s">
        <v>1753</v>
      </c>
    </row>
    <row r="126" spans="1:8" ht="15" customHeight="1" x14ac:dyDescent="0.3">
      <c r="A126" s="133"/>
      <c r="B126" s="131">
        <f t="shared" si="3"/>
        <v>122</v>
      </c>
      <c r="C126" s="129" t="str">
        <f t="shared" si="2"/>
        <v>Periodo di payback del programma (senza mezzi per l'incentivazione impiegati)</v>
      </c>
      <c r="D126" s="107"/>
      <c r="E126" s="317"/>
      <c r="F126" s="310" t="s">
        <v>1564</v>
      </c>
      <c r="G126" s="318" t="s">
        <v>1563</v>
      </c>
      <c r="H126" s="319" t="s">
        <v>1565</v>
      </c>
    </row>
    <row r="127" spans="1:8" ht="15" customHeight="1" x14ac:dyDescent="0.3">
      <c r="A127" s="133"/>
      <c r="B127" s="131">
        <f t="shared" si="3"/>
        <v>123</v>
      </c>
      <c r="C127" s="129" t="str">
        <f t="shared" si="2"/>
        <v>Efficienza del programma</v>
      </c>
      <c r="D127" s="107"/>
      <c r="E127" s="317"/>
      <c r="F127" s="310" t="s">
        <v>250</v>
      </c>
      <c r="G127" s="318" t="s">
        <v>71</v>
      </c>
      <c r="H127" s="319" t="s">
        <v>992</v>
      </c>
    </row>
    <row r="128" spans="1:8" ht="15" customHeight="1" x14ac:dyDescent="0.3">
      <c r="A128" s="133"/>
      <c r="B128" s="131">
        <f t="shared" si="3"/>
        <v>124</v>
      </c>
      <c r="C128" s="129" t="str">
        <f t="shared" si="2"/>
        <v>Efficienza dei mezzi per l'incentivazione impiegati</v>
      </c>
      <c r="D128" s="107"/>
      <c r="E128" s="317"/>
      <c r="F128" s="310" t="s">
        <v>1281</v>
      </c>
      <c r="G128" s="318" t="s">
        <v>1282</v>
      </c>
      <c r="H128" s="319" t="s">
        <v>993</v>
      </c>
    </row>
    <row r="129" spans="1:8" ht="15" customHeight="1" x14ac:dyDescent="0.3">
      <c r="A129" s="133"/>
      <c r="B129" s="131">
        <f t="shared" si="3"/>
        <v>125</v>
      </c>
      <c r="C129" s="129" t="str">
        <f t="shared" si="2"/>
        <v>[kWh/anno]</v>
      </c>
      <c r="D129" s="107"/>
      <c r="E129" s="317"/>
      <c r="F129" s="310" t="s">
        <v>1419</v>
      </c>
      <c r="G129" s="318" t="s">
        <v>1394</v>
      </c>
      <c r="H129" s="319" t="s">
        <v>1426</v>
      </c>
    </row>
    <row r="130" spans="1:8" ht="15" customHeight="1" x14ac:dyDescent="0.3">
      <c r="A130" s="133"/>
      <c r="B130" s="131">
        <f t="shared" si="3"/>
        <v>126</v>
      </c>
      <c r="C130" s="129" t="str">
        <f t="shared" si="2"/>
        <v>[CHF/anno]</v>
      </c>
      <c r="D130" s="107"/>
      <c r="E130" s="317"/>
      <c r="F130" s="310" t="s">
        <v>1420</v>
      </c>
      <c r="G130" s="318" t="s">
        <v>1422</v>
      </c>
      <c r="H130" s="319" t="s">
        <v>1427</v>
      </c>
    </row>
    <row r="131" spans="1:8" ht="15" customHeight="1" x14ac:dyDescent="0.3">
      <c r="A131" s="133"/>
      <c r="B131" s="131">
        <f t="shared" si="3"/>
        <v>127</v>
      </c>
      <c r="C131" s="129" t="str">
        <f t="shared" si="2"/>
        <v>[Cent./kWh]</v>
      </c>
      <c r="D131" s="107"/>
      <c r="E131" s="317"/>
      <c r="F131" s="310" t="s">
        <v>1421</v>
      </c>
      <c r="G131" s="318" t="s">
        <v>1423</v>
      </c>
      <c r="H131" s="319" t="s">
        <v>1428</v>
      </c>
    </row>
    <row r="132" spans="1:8" ht="15" customHeight="1" x14ac:dyDescent="0.3">
      <c r="A132" s="133"/>
      <c r="B132" s="131">
        <f t="shared" si="3"/>
        <v>128</v>
      </c>
      <c r="C132" s="129" t="str">
        <f t="shared" si="2"/>
        <v>[anno/anni]</v>
      </c>
      <c r="D132" s="107"/>
      <c r="E132" s="317"/>
      <c r="F132" s="310" t="s">
        <v>1425</v>
      </c>
      <c r="G132" s="318" t="s">
        <v>1424</v>
      </c>
      <c r="H132" s="319" t="s">
        <v>1429</v>
      </c>
    </row>
    <row r="133" spans="1:8" ht="15" customHeight="1" x14ac:dyDescent="0.3">
      <c r="A133" s="133"/>
      <c r="B133" s="131">
        <f t="shared" si="3"/>
        <v>129</v>
      </c>
      <c r="C133" s="129" t="str">
        <f t="shared" ref="C133:C196" si="4">IF($B$1="f",F133,IF($B$1="d",G133,H133))</f>
        <v>Istruzioni e spiegazioni</v>
      </c>
      <c r="D133" s="107"/>
      <c r="E133" s="317"/>
      <c r="F133" s="310" t="s">
        <v>252</v>
      </c>
      <c r="G133" s="318" t="s">
        <v>604</v>
      </c>
      <c r="H133" s="319" t="s">
        <v>995</v>
      </c>
    </row>
    <row r="134" spans="1:8" ht="15" customHeight="1" x14ac:dyDescent="0.3">
      <c r="A134" s="133"/>
      <c r="B134" s="131">
        <f t="shared" ref="B134:B197" si="5">B133+1</f>
        <v>130</v>
      </c>
      <c r="C134" s="129">
        <f t="shared" si="4"/>
        <v>0</v>
      </c>
      <c r="D134" s="107"/>
      <c r="E134" s="317"/>
      <c r="F134" s="310"/>
      <c r="G134" s="318"/>
      <c r="H134" s="319"/>
    </row>
    <row r="135" spans="1:8" ht="15" customHeight="1" x14ac:dyDescent="0.3">
      <c r="A135" s="133"/>
      <c r="B135" s="131">
        <f t="shared" si="5"/>
        <v>131</v>
      </c>
      <c r="C135" s="129" t="str">
        <f t="shared" si="4"/>
        <v>Consumo medio di elettricità senza programma per anno</v>
      </c>
      <c r="D135" s="107"/>
      <c r="E135" s="317"/>
      <c r="F135" s="310" t="s">
        <v>253</v>
      </c>
      <c r="G135" s="318" t="s">
        <v>777</v>
      </c>
      <c r="H135" s="319" t="s">
        <v>996</v>
      </c>
    </row>
    <row r="136" spans="1:8" ht="15" customHeight="1" x14ac:dyDescent="0.3">
      <c r="A136" s="133"/>
      <c r="B136" s="131">
        <f t="shared" si="5"/>
        <v>132</v>
      </c>
      <c r="C136" s="129" t="str">
        <f t="shared" si="4"/>
        <v>Tariffa media per il calcolo dell'evoluzione di riferimento</v>
      </c>
      <c r="D136" s="107"/>
      <c r="E136" s="317"/>
      <c r="F136" s="310" t="s">
        <v>254</v>
      </c>
      <c r="G136" s="318" t="s">
        <v>778</v>
      </c>
      <c r="H136" s="319" t="s">
        <v>997</v>
      </c>
    </row>
    <row r="137" spans="1:8" ht="15" customHeight="1" x14ac:dyDescent="0.3">
      <c r="A137" s="133"/>
      <c r="B137" s="131">
        <f t="shared" si="5"/>
        <v>133</v>
      </c>
      <c r="C137" s="129" t="str">
        <f t="shared" si="4"/>
        <v>Durata di utilizzo delle applicazioni coinvolte, che sono interessati dalle misure.</v>
      </c>
      <c r="D137" s="107"/>
      <c r="E137" s="317"/>
      <c r="F137" s="310" t="s">
        <v>255</v>
      </c>
      <c r="G137" s="318" t="s">
        <v>132</v>
      </c>
      <c r="H137" s="319" t="s">
        <v>998</v>
      </c>
    </row>
    <row r="138" spans="1:8" ht="15" customHeight="1" x14ac:dyDescent="0.3">
      <c r="A138" s="133"/>
      <c r="B138" s="131">
        <f t="shared" si="5"/>
        <v>134</v>
      </c>
      <c r="C138" s="129" t="str">
        <f t="shared" si="4"/>
        <v>Evoluzione di riferimento del consumo senza programma per l'intera durata di utilizzo in kWh e CHF</v>
      </c>
      <c r="D138" s="107"/>
      <c r="E138" s="317"/>
      <c r="F138" s="310" t="s">
        <v>1434</v>
      </c>
      <c r="G138" s="318" t="s">
        <v>75</v>
      </c>
      <c r="H138" s="319" t="s">
        <v>1436</v>
      </c>
    </row>
    <row r="139" spans="1:8" ht="15" customHeight="1" x14ac:dyDescent="0.3">
      <c r="A139" s="133"/>
      <c r="B139" s="131">
        <f t="shared" si="5"/>
        <v>135</v>
      </c>
      <c r="C139" s="129" t="str">
        <f t="shared" si="4"/>
        <v xml:space="preserve">Consumo medio di elettricità con programma per anno </v>
      </c>
      <c r="D139" s="107"/>
      <c r="E139" s="317"/>
      <c r="F139" s="310" t="s">
        <v>256</v>
      </c>
      <c r="G139" s="318" t="s">
        <v>72</v>
      </c>
      <c r="H139" s="319" t="s">
        <v>999</v>
      </c>
    </row>
    <row r="140" spans="1:8" ht="15" customHeight="1" x14ac:dyDescent="0.3">
      <c r="A140" s="133"/>
      <c r="B140" s="131">
        <f t="shared" si="5"/>
        <v>136</v>
      </c>
      <c r="C140" s="129" t="str">
        <f t="shared" si="4"/>
        <v>Consumo di elettricità con programma per l'intera durata di utilizzo in kWh e CHF</v>
      </c>
      <c r="D140" s="107"/>
      <c r="E140" s="317"/>
      <c r="F140" s="310" t="s">
        <v>257</v>
      </c>
      <c r="G140" s="318" t="s">
        <v>76</v>
      </c>
      <c r="H140" s="319" t="s">
        <v>1000</v>
      </c>
    </row>
    <row r="141" spans="1:8" ht="15" customHeight="1" x14ac:dyDescent="0.3">
      <c r="A141" s="133"/>
      <c r="B141" s="131">
        <f t="shared" si="5"/>
        <v>137</v>
      </c>
      <c r="C141" s="129" t="str">
        <f t="shared" si="4"/>
        <v>Risparmio medio di energia elettrica per anno</v>
      </c>
      <c r="D141" s="107"/>
      <c r="E141" s="317"/>
      <c r="F141" s="310" t="s">
        <v>258</v>
      </c>
      <c r="G141" s="318" t="s">
        <v>73</v>
      </c>
      <c r="H141" s="319" t="s">
        <v>1001</v>
      </c>
    </row>
    <row r="142" spans="1:8" ht="15" customHeight="1" x14ac:dyDescent="0.3">
      <c r="A142" s="133"/>
      <c r="B142" s="131">
        <f t="shared" si="5"/>
        <v>138</v>
      </c>
      <c r="C142" s="129" t="str">
        <f t="shared" si="4"/>
        <v>Risparmio di energia elettrica previsto del programma per l'intera durata di utilizzo in kWh e CHF</v>
      </c>
      <c r="D142" s="107"/>
      <c r="E142" s="317"/>
      <c r="F142" s="310" t="s">
        <v>1433</v>
      </c>
      <c r="G142" s="318" t="s">
        <v>1432</v>
      </c>
      <c r="H142" s="319" t="s">
        <v>1435</v>
      </c>
    </row>
    <row r="143" spans="1:8" ht="15" customHeight="1" x14ac:dyDescent="0.3">
      <c r="A143" s="133"/>
      <c r="B143" s="131">
        <f t="shared" si="5"/>
        <v>139</v>
      </c>
      <c r="C143" s="129" t="str">
        <f t="shared" si="4"/>
        <v>Totale dei costi del programma</v>
      </c>
      <c r="D143" s="107"/>
      <c r="E143" s="317"/>
      <c r="F143" s="310" t="s">
        <v>259</v>
      </c>
      <c r="G143" s="318" t="s">
        <v>779</v>
      </c>
      <c r="H143" s="319" t="s">
        <v>1002</v>
      </c>
    </row>
    <row r="144" spans="1:8" ht="15" customHeight="1" x14ac:dyDescent="0.3">
      <c r="A144" s="133"/>
      <c r="B144" s="131">
        <f t="shared" si="5"/>
        <v>140</v>
      </c>
      <c r="C144" s="129" t="str">
        <f t="shared" si="4"/>
        <v>Contributi «a fondo perso» di Confederazione, cantone e altre istituzioni pubbliche</v>
      </c>
      <c r="D144" s="107"/>
      <c r="E144" s="317"/>
      <c r="F144" s="310" t="s">
        <v>260</v>
      </c>
      <c r="G144" s="318" t="s">
        <v>160</v>
      </c>
      <c r="H144" s="319" t="s">
        <v>1003</v>
      </c>
    </row>
    <row r="145" spans="1:8" ht="15" customHeight="1" x14ac:dyDescent="0.3">
      <c r="A145" s="133"/>
      <c r="B145" s="131">
        <f t="shared" si="5"/>
        <v>141</v>
      </c>
      <c r="C145" s="129" t="str">
        <f t="shared" si="4"/>
        <v>Contributo richiesto nel quadro delle gare pubbliche minimo 150'000.-, massimo 1 mln. CHF</v>
      </c>
      <c r="D145" s="107"/>
      <c r="E145" s="317"/>
      <c r="F145" s="310" t="s">
        <v>1283</v>
      </c>
      <c r="G145" s="318" t="s">
        <v>1285</v>
      </c>
      <c r="H145" s="319" t="s">
        <v>1284</v>
      </c>
    </row>
    <row r="146" spans="1:8" ht="15" customHeight="1" x14ac:dyDescent="0.3">
      <c r="A146" s="133"/>
      <c r="B146" s="131">
        <f t="shared" si="5"/>
        <v>142</v>
      </c>
      <c r="C146" s="129" t="str">
        <f t="shared" si="4"/>
        <v>Periodo di payback del programma</v>
      </c>
      <c r="D146" s="107"/>
      <c r="E146" s="317"/>
      <c r="F146" s="310" t="s">
        <v>249</v>
      </c>
      <c r="G146" s="318" t="s">
        <v>95</v>
      </c>
      <c r="H146" s="319" t="s">
        <v>991</v>
      </c>
    </row>
    <row r="147" spans="1:8" ht="15" customHeight="1" x14ac:dyDescent="0.3">
      <c r="A147" s="133"/>
      <c r="B147" s="131">
        <f t="shared" si="5"/>
        <v>143</v>
      </c>
      <c r="C147" s="129" t="str">
        <f t="shared" si="4"/>
        <v>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v>
      </c>
      <c r="D147" s="107"/>
      <c r="E147" s="317"/>
      <c r="F147" s="310" t="s">
        <v>1445</v>
      </c>
      <c r="G147" s="318" t="s">
        <v>1444</v>
      </c>
      <c r="H147" s="319" t="s">
        <v>1446</v>
      </c>
    </row>
    <row r="148" spans="1:8" ht="15" customHeight="1" x14ac:dyDescent="0.3">
      <c r="A148" s="133"/>
      <c r="B148" s="131">
        <f t="shared" si="5"/>
        <v>144</v>
      </c>
      <c r="C148" s="129" t="str">
        <f t="shared" si="4"/>
        <v>Totale</v>
      </c>
      <c r="D148" s="107"/>
      <c r="E148" s="317"/>
      <c r="F148" s="310" t="s">
        <v>536</v>
      </c>
      <c r="G148" s="318" t="s">
        <v>536</v>
      </c>
      <c r="H148" s="319" t="s">
        <v>1004</v>
      </c>
    </row>
    <row r="149" spans="1:8" ht="15" customHeight="1" x14ac:dyDescent="0.3">
      <c r="A149" s="130" t="s">
        <v>802</v>
      </c>
      <c r="B149" s="131">
        <f t="shared" si="5"/>
        <v>145</v>
      </c>
      <c r="C149" s="129" t="str">
        <f t="shared" si="4"/>
        <v>Partner principale</v>
      </c>
      <c r="D149" s="107"/>
      <c r="E149" s="317"/>
      <c r="F149" s="310" t="s">
        <v>512</v>
      </c>
      <c r="G149" s="318" t="s">
        <v>120</v>
      </c>
      <c r="H149" s="319" t="s">
        <v>1005</v>
      </c>
    </row>
    <row r="150" spans="1:8" ht="15" customHeight="1" x14ac:dyDescent="0.3">
      <c r="A150" s="133" t="s">
        <v>852</v>
      </c>
      <c r="B150" s="131">
        <f t="shared" si="5"/>
        <v>146</v>
      </c>
      <c r="C150" s="129" t="str">
        <f t="shared" si="4"/>
        <v>Organizzazione 1 (partner principale)</v>
      </c>
      <c r="D150" s="107"/>
      <c r="E150" s="317"/>
      <c r="F150" s="310" t="s">
        <v>261</v>
      </c>
      <c r="G150" s="318" t="s">
        <v>119</v>
      </c>
      <c r="H150" s="319" t="s">
        <v>1006</v>
      </c>
    </row>
    <row r="151" spans="1:8" ht="15" customHeight="1" x14ac:dyDescent="0.3">
      <c r="A151" s="133" t="s">
        <v>853</v>
      </c>
      <c r="B151" s="131">
        <f t="shared" si="5"/>
        <v>147</v>
      </c>
      <c r="C151" s="129" t="str">
        <f t="shared" si="4"/>
        <v>Acronimo del programma</v>
      </c>
      <c r="D151" s="107"/>
      <c r="E151" s="317"/>
      <c r="F151" s="310" t="s">
        <v>262</v>
      </c>
      <c r="G151" s="318" t="s">
        <v>121</v>
      </c>
      <c r="H151" s="319" t="s">
        <v>1007</v>
      </c>
    </row>
    <row r="152" spans="1:8" ht="15" customHeight="1" x14ac:dyDescent="0.3">
      <c r="A152" s="133" t="s">
        <v>705</v>
      </c>
      <c r="B152" s="131">
        <f t="shared" si="5"/>
        <v>148</v>
      </c>
      <c r="C152" s="129" t="str">
        <f t="shared" si="4"/>
        <v>Definizione del programma</v>
      </c>
      <c r="D152" s="107"/>
      <c r="E152" s="317"/>
      <c r="F152" s="310" t="s">
        <v>263</v>
      </c>
      <c r="G152" s="318" t="s">
        <v>755</v>
      </c>
      <c r="H152" s="319" t="s">
        <v>1008</v>
      </c>
    </row>
    <row r="153" spans="1:8" ht="15" customHeight="1" x14ac:dyDescent="0.3">
      <c r="A153" s="133" t="s">
        <v>637</v>
      </c>
      <c r="B153" s="131">
        <f t="shared" si="5"/>
        <v>149</v>
      </c>
      <c r="C153" s="129" t="str">
        <f t="shared" si="4"/>
        <v>Nome del programma</v>
      </c>
      <c r="D153" s="107"/>
      <c r="E153" s="317"/>
      <c r="F153" s="310" t="s">
        <v>264</v>
      </c>
      <c r="G153" s="318" t="s">
        <v>754</v>
      </c>
      <c r="H153" s="319" t="s">
        <v>1009</v>
      </c>
    </row>
    <row r="154" spans="1:8" ht="15" customHeight="1" x14ac:dyDescent="0.3">
      <c r="A154" s="133" t="s">
        <v>706</v>
      </c>
      <c r="B154" s="131">
        <f t="shared" si="5"/>
        <v>150</v>
      </c>
      <c r="C154" s="129" t="str">
        <f t="shared" si="4"/>
        <v>Acronimo del programma</v>
      </c>
      <c r="D154" s="107"/>
      <c r="E154" s="317"/>
      <c r="F154" s="310" t="s">
        <v>262</v>
      </c>
      <c r="G154" s="318" t="s">
        <v>121</v>
      </c>
      <c r="H154" s="319" t="s">
        <v>1007</v>
      </c>
    </row>
    <row r="155" spans="1:8" ht="15" customHeight="1" x14ac:dyDescent="0.3">
      <c r="A155" s="133" t="s">
        <v>708</v>
      </c>
      <c r="B155" s="131">
        <f t="shared" si="5"/>
        <v>151</v>
      </c>
      <c r="C155" s="129" t="str">
        <f t="shared" si="4"/>
        <v>Descrittivo del programma (Management Summary; pubblicato in caso di aggiudicazione!)</v>
      </c>
      <c r="D155" s="107"/>
      <c r="E155" s="317"/>
      <c r="F155" s="310" t="s">
        <v>1294</v>
      </c>
      <c r="G155" s="318" t="s">
        <v>1295</v>
      </c>
      <c r="H155" s="319" t="s">
        <v>1010</v>
      </c>
    </row>
    <row r="156" spans="1:8" ht="15" customHeight="1" x14ac:dyDescent="0.3">
      <c r="A156" s="133" t="s">
        <v>711</v>
      </c>
      <c r="B156" s="131">
        <f t="shared" si="5"/>
        <v>152</v>
      </c>
      <c r="C156" s="129" t="str">
        <f t="shared" si="4"/>
        <v>Orientamento geografico (copertura) delle misure</v>
      </c>
      <c r="D156" s="107"/>
      <c r="E156" s="317"/>
      <c r="F156" s="310" t="s">
        <v>265</v>
      </c>
      <c r="G156" s="318" t="s">
        <v>825</v>
      </c>
      <c r="H156" s="319" t="s">
        <v>1011</v>
      </c>
    </row>
    <row r="157" spans="1:8" ht="15" customHeight="1" x14ac:dyDescent="0.3">
      <c r="A157" s="133" t="s">
        <v>721</v>
      </c>
      <c r="B157" s="131">
        <f t="shared" si="5"/>
        <v>153</v>
      </c>
      <c r="C157" s="129" t="str">
        <f t="shared" si="4"/>
        <v>Precisazione dell'orientamento geografico</v>
      </c>
      <c r="D157" s="107"/>
      <c r="E157" s="317"/>
      <c r="F157" s="310" t="s">
        <v>266</v>
      </c>
      <c r="G157" s="318" t="s">
        <v>752</v>
      </c>
      <c r="H157" s="319" t="s">
        <v>1012</v>
      </c>
    </row>
    <row r="158" spans="1:8" ht="15" customHeight="1" x14ac:dyDescent="0.3">
      <c r="A158" s="133" t="s">
        <v>712</v>
      </c>
      <c r="B158" s="131">
        <f t="shared" si="5"/>
        <v>154</v>
      </c>
      <c r="C158" s="129" t="str">
        <f t="shared" si="4"/>
        <v>Quanto dura il programma (indicazione in mesi)?</v>
      </c>
      <c r="D158" s="107"/>
      <c r="E158" s="317"/>
      <c r="F158" s="310" t="s">
        <v>267</v>
      </c>
      <c r="G158" s="318" t="s">
        <v>1</v>
      </c>
      <c r="H158" s="319" t="s">
        <v>1013</v>
      </c>
    </row>
    <row r="159" spans="1:8" ht="15" customHeight="1" x14ac:dyDescent="0.3">
      <c r="A159" s="133" t="s">
        <v>713</v>
      </c>
      <c r="B159" s="131">
        <f t="shared" si="5"/>
        <v>155</v>
      </c>
      <c r="C159" s="129" t="str">
        <f t="shared" si="4"/>
        <v>Indicazioni sulla realizzazione</v>
      </c>
      <c r="D159" s="107"/>
      <c r="E159" s="317"/>
      <c r="F159" s="310" t="s">
        <v>268</v>
      </c>
      <c r="G159" s="318" t="s">
        <v>600</v>
      </c>
      <c r="H159" s="319" t="s">
        <v>1014</v>
      </c>
    </row>
    <row r="160" spans="1:8" ht="15" customHeight="1" x14ac:dyDescent="0.3">
      <c r="A160" s="133" t="s">
        <v>715</v>
      </c>
      <c r="B160" s="131">
        <f t="shared" si="5"/>
        <v>156</v>
      </c>
      <c r="C160" s="129" t="str">
        <f t="shared" si="4"/>
        <v>Data di realizzazione del programma</v>
      </c>
      <c r="D160" s="107"/>
      <c r="E160" s="317"/>
      <c r="F160" s="310" t="s">
        <v>269</v>
      </c>
      <c r="G160" s="318" t="s">
        <v>828</v>
      </c>
      <c r="H160" s="319" t="s">
        <v>1015</v>
      </c>
    </row>
    <row r="161" spans="1:8" ht="15" customHeight="1" x14ac:dyDescent="0.3">
      <c r="A161" s="133" t="s">
        <v>716</v>
      </c>
      <c r="B161" s="131">
        <f t="shared" si="5"/>
        <v>157</v>
      </c>
      <c r="C161" s="129" t="str">
        <f t="shared" si="4"/>
        <v>Osservazioni sul programma della realizzazione</v>
      </c>
      <c r="D161" s="107"/>
      <c r="E161" s="317"/>
      <c r="F161" s="310" t="s">
        <v>270</v>
      </c>
      <c r="G161" s="318" t="s">
        <v>601</v>
      </c>
      <c r="H161" s="319" t="s">
        <v>1016</v>
      </c>
    </row>
    <row r="162" spans="1:8" ht="15" customHeight="1" x14ac:dyDescent="0.3">
      <c r="A162" s="133" t="s">
        <v>714</v>
      </c>
      <c r="B162" s="131">
        <f t="shared" si="5"/>
        <v>158</v>
      </c>
      <c r="C162" s="129" t="str">
        <f t="shared" si="4"/>
        <v>Inizio [mese, anno]</v>
      </c>
      <c r="D162" s="107"/>
      <c r="E162" s="317"/>
      <c r="F162" s="310" t="s">
        <v>271</v>
      </c>
      <c r="G162" s="318" t="s">
        <v>826</v>
      </c>
      <c r="H162" s="319" t="s">
        <v>1017</v>
      </c>
    </row>
    <row r="163" spans="1:8" ht="15" customHeight="1" x14ac:dyDescent="0.3">
      <c r="A163" s="133" t="s">
        <v>850</v>
      </c>
      <c r="B163" s="131">
        <f t="shared" si="5"/>
        <v>159</v>
      </c>
      <c r="C163" s="129" t="str">
        <f t="shared" si="4"/>
        <v>Fine [mese, anno]</v>
      </c>
      <c r="D163" s="107"/>
      <c r="E163" s="317"/>
      <c r="F163" s="310" t="s">
        <v>272</v>
      </c>
      <c r="G163" s="318" t="s">
        <v>827</v>
      </c>
      <c r="H163" s="319" t="s">
        <v>1018</v>
      </c>
    </row>
    <row r="164" spans="1:8" ht="15" customHeight="1" x14ac:dyDescent="0.3">
      <c r="A164" s="133" t="s">
        <v>729</v>
      </c>
      <c r="B164" s="131">
        <f t="shared" si="5"/>
        <v>160</v>
      </c>
      <c r="C164" s="129" t="str">
        <f t="shared" si="4"/>
        <v>Titolo del programma</v>
      </c>
      <c r="D164" s="107"/>
      <c r="E164" s="317"/>
      <c r="F164" s="310" t="s">
        <v>273</v>
      </c>
      <c r="G164" s="318" t="s">
        <v>824</v>
      </c>
      <c r="H164" s="319" t="s">
        <v>1019</v>
      </c>
    </row>
    <row r="165" spans="1:8" ht="15" customHeight="1" x14ac:dyDescent="0.3">
      <c r="A165" s="133" t="s">
        <v>722</v>
      </c>
      <c r="B165" s="131">
        <f t="shared" si="5"/>
        <v>161</v>
      </c>
      <c r="C165" s="129" t="str">
        <f t="shared" si="4"/>
        <v>Descrittivo (abbreviazione) del programma (max. 15 caratteri)</v>
      </c>
      <c r="D165" s="107"/>
      <c r="E165" s="317"/>
      <c r="F165" s="310" t="s">
        <v>877</v>
      </c>
      <c r="G165" s="318" t="s">
        <v>525</v>
      </c>
      <c r="H165" s="319" t="s">
        <v>1020</v>
      </c>
    </row>
    <row r="166" spans="1:8" ht="15" customHeight="1" x14ac:dyDescent="0.3">
      <c r="A166" s="133" t="s">
        <v>731</v>
      </c>
      <c r="B166" s="131">
        <f t="shared" si="5"/>
        <v>162</v>
      </c>
      <c r="C166" s="129" t="str">
        <f t="shared" si="4"/>
        <v>Istruzioni e spiegazioni</v>
      </c>
      <c r="D166" s="107"/>
      <c r="E166" s="317"/>
      <c r="F166" s="310" t="s">
        <v>252</v>
      </c>
      <c r="G166" s="318" t="s">
        <v>604</v>
      </c>
      <c r="H166" s="319" t="s">
        <v>995</v>
      </c>
    </row>
    <row r="167" spans="1:8" ht="15" customHeight="1" x14ac:dyDescent="0.3">
      <c r="A167" s="133" t="s">
        <v>725</v>
      </c>
      <c r="B167" s="131">
        <f t="shared" si="5"/>
        <v>163</v>
      </c>
      <c r="C167" s="129" t="str">
        <f t="shared" si="4"/>
        <v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v>
      </c>
      <c r="D167" s="107"/>
      <c r="E167" s="317"/>
      <c r="F167" s="310" t="s">
        <v>1359</v>
      </c>
      <c r="G167" s="318" t="s">
        <v>1362</v>
      </c>
      <c r="H167" s="319" t="s">
        <v>1360</v>
      </c>
    </row>
    <row r="168" spans="1:8" ht="15" customHeight="1" x14ac:dyDescent="0.3">
      <c r="A168" s="133" t="s">
        <v>732</v>
      </c>
      <c r="B168" s="131">
        <f t="shared" si="5"/>
        <v>164</v>
      </c>
      <c r="C168" s="129" t="str">
        <f t="shared" si="4"/>
        <v>Copertura geografica del programma</v>
      </c>
      <c r="D168" s="107"/>
      <c r="E168" s="317"/>
      <c r="F168" s="310" t="s">
        <v>274</v>
      </c>
      <c r="G168" s="318" t="s">
        <v>746</v>
      </c>
      <c r="H168" s="319" t="s">
        <v>1021</v>
      </c>
    </row>
    <row r="169" spans="1:8" ht="15" customHeight="1" x14ac:dyDescent="0.3">
      <c r="A169" s="133" t="s">
        <v>738</v>
      </c>
      <c r="B169" s="131">
        <f t="shared" si="5"/>
        <v>165</v>
      </c>
      <c r="C169" s="129" t="str">
        <f t="shared" si="4"/>
        <v>Spiegazione dell'orientamento geografico</v>
      </c>
      <c r="D169" s="107"/>
      <c r="E169" s="317"/>
      <c r="F169" s="310" t="s">
        <v>1703</v>
      </c>
      <c r="G169" s="318" t="s">
        <v>753</v>
      </c>
      <c r="H169" s="319" t="s">
        <v>1022</v>
      </c>
    </row>
    <row r="170" spans="1:8" ht="15" customHeight="1" x14ac:dyDescent="0.3">
      <c r="A170" s="133" t="s">
        <v>726</v>
      </c>
      <c r="B170" s="131">
        <f t="shared" si="5"/>
        <v>166</v>
      </c>
      <c r="C170" s="129" t="str">
        <f t="shared" si="4"/>
        <v>Durata del programma (mesi) compresa tra 12 e 36 mesi</v>
      </c>
      <c r="D170" s="107"/>
      <c r="E170" s="317"/>
      <c r="F170" s="310" t="s">
        <v>1627</v>
      </c>
      <c r="G170" s="318" t="s">
        <v>1748</v>
      </c>
      <c r="H170" s="319" t="s">
        <v>1749</v>
      </c>
    </row>
    <row r="171" spans="1:8" ht="15" customHeight="1" x14ac:dyDescent="0.3">
      <c r="A171" s="133" t="s">
        <v>728</v>
      </c>
      <c r="B171" s="131">
        <f t="shared" si="5"/>
        <v>167</v>
      </c>
      <c r="C171" s="129" t="str">
        <f t="shared" si="4"/>
        <v>Indicazione delle date di inizio (&gt; 01.03.2021) e fine (&lt; 01.03.2024) del programma</v>
      </c>
      <c r="D171" s="107"/>
      <c r="E171" s="317"/>
      <c r="F171" s="310" t="s">
        <v>1943</v>
      </c>
      <c r="G171" s="318" t="s">
        <v>1944</v>
      </c>
      <c r="H171" s="319" t="s">
        <v>1945</v>
      </c>
    </row>
    <row r="172" spans="1:8" ht="15" customHeight="1" x14ac:dyDescent="0.3">
      <c r="A172" s="133" t="s">
        <v>727</v>
      </c>
      <c r="B172" s="131">
        <f t="shared" si="5"/>
        <v>168</v>
      </c>
      <c r="C172" s="129" t="str">
        <f t="shared" si="4"/>
        <v>Osservazioni sulla data più presto possibile per l'inizio e sul programma della realizzazione</v>
      </c>
      <c r="D172" s="107"/>
      <c r="E172" s="317"/>
      <c r="F172" s="310" t="s">
        <v>1320</v>
      </c>
      <c r="G172" s="318" t="s">
        <v>829</v>
      </c>
      <c r="H172" s="319" t="s">
        <v>1321</v>
      </c>
    </row>
    <row r="173" spans="1:8" ht="15" customHeight="1" x14ac:dyDescent="0.3">
      <c r="A173" s="133" t="s">
        <v>851</v>
      </c>
      <c r="B173" s="131">
        <f t="shared" si="5"/>
        <v>169</v>
      </c>
      <c r="C173" s="129" t="str">
        <f t="shared" si="4"/>
        <v>Stato</v>
      </c>
      <c r="D173" s="107"/>
      <c r="E173" s="317"/>
      <c r="F173" s="310" t="s">
        <v>170</v>
      </c>
      <c r="G173" s="318" t="s">
        <v>552</v>
      </c>
      <c r="H173" s="319" t="s">
        <v>906</v>
      </c>
    </row>
    <row r="174" spans="1:8" ht="15" customHeight="1" x14ac:dyDescent="0.3">
      <c r="A174" s="133"/>
      <c r="B174" s="131">
        <f t="shared" si="5"/>
        <v>170</v>
      </c>
      <c r="C174" s="129" t="str">
        <f t="shared" si="4"/>
        <v>Esempio</v>
      </c>
      <c r="D174" s="107"/>
      <c r="E174" s="317"/>
      <c r="F174" s="311" t="s">
        <v>1355</v>
      </c>
      <c r="G174" s="321" t="s">
        <v>1356</v>
      </c>
      <c r="H174" s="322" t="s">
        <v>1357</v>
      </c>
    </row>
    <row r="175" spans="1:8" ht="15" customHeight="1" x14ac:dyDescent="0.3">
      <c r="A175" s="133"/>
      <c r="B175" s="131">
        <f t="shared" si="5"/>
        <v>171</v>
      </c>
      <c r="C175" s="129" t="str">
        <f t="shared" si="4"/>
        <v>-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v>
      </c>
      <c r="D175" s="107"/>
      <c r="E175" s="317"/>
      <c r="F175" s="310" t="s">
        <v>1370</v>
      </c>
      <c r="G175" s="323" t="s">
        <v>1358</v>
      </c>
      <c r="H175" s="319" t="s">
        <v>1371</v>
      </c>
    </row>
    <row r="176" spans="1:8" ht="15" customHeight="1" x14ac:dyDescent="0.3">
      <c r="A176" s="130" t="s">
        <v>26</v>
      </c>
      <c r="B176" s="131">
        <f t="shared" si="5"/>
        <v>172</v>
      </c>
      <c r="C176" s="129">
        <f t="shared" si="4"/>
        <v>0</v>
      </c>
      <c r="D176" s="107"/>
      <c r="E176" s="317"/>
      <c r="F176" s="310"/>
      <c r="G176" s="318"/>
      <c r="H176" s="319"/>
    </row>
    <row r="177" spans="1:8" ht="15" customHeight="1" x14ac:dyDescent="0.3">
      <c r="A177" s="133" t="s">
        <v>637</v>
      </c>
      <c r="B177" s="131">
        <f t="shared" si="5"/>
        <v>173</v>
      </c>
      <c r="C177" s="129" t="str">
        <f t="shared" si="4"/>
        <v>Nome dell'organizzazione</v>
      </c>
      <c r="D177" s="107"/>
      <c r="E177" s="317"/>
      <c r="F177" s="310" t="s">
        <v>275</v>
      </c>
      <c r="G177" s="318" t="s">
        <v>803</v>
      </c>
      <c r="H177" s="319" t="s">
        <v>1023</v>
      </c>
    </row>
    <row r="178" spans="1:8" ht="15" customHeight="1" x14ac:dyDescent="0.3">
      <c r="A178" s="133" t="s">
        <v>706</v>
      </c>
      <c r="B178" s="131">
        <f t="shared" si="5"/>
        <v>174</v>
      </c>
      <c r="C178" s="129" t="str">
        <f t="shared" si="4"/>
        <v>Forma giuridica</v>
      </c>
      <c r="D178" s="107"/>
      <c r="E178" s="317"/>
      <c r="F178" s="310" t="s">
        <v>276</v>
      </c>
      <c r="G178" s="318" t="s">
        <v>553</v>
      </c>
      <c r="H178" s="319" t="s">
        <v>1024</v>
      </c>
    </row>
    <row r="179" spans="1:8" ht="15" customHeight="1" x14ac:dyDescent="0.3">
      <c r="A179" s="133" t="s">
        <v>707</v>
      </c>
      <c r="B179" s="131">
        <f t="shared" si="5"/>
        <v>175</v>
      </c>
      <c r="C179" s="129" t="str">
        <f t="shared" si="4"/>
        <v>Spiegazione della forma giuridica</v>
      </c>
      <c r="D179" s="107"/>
      <c r="E179" s="317"/>
      <c r="F179" s="310" t="s">
        <v>277</v>
      </c>
      <c r="G179" s="318" t="s">
        <v>610</v>
      </c>
      <c r="H179" s="319" t="s">
        <v>1025</v>
      </c>
    </row>
    <row r="180" spans="1:8" ht="15" customHeight="1" x14ac:dyDescent="0.3">
      <c r="A180" s="133" t="s">
        <v>708</v>
      </c>
      <c r="B180" s="131">
        <f t="shared" si="5"/>
        <v>176</v>
      </c>
      <c r="C180" s="129" t="str">
        <f t="shared" si="4"/>
        <v>Indirizzo</v>
      </c>
      <c r="D180" s="107"/>
      <c r="E180" s="317"/>
      <c r="F180" s="310" t="s">
        <v>558</v>
      </c>
      <c r="G180" s="318" t="s">
        <v>558</v>
      </c>
      <c r="H180" s="319" t="s">
        <v>1026</v>
      </c>
    </row>
    <row r="181" spans="1:8" ht="15" customHeight="1" x14ac:dyDescent="0.3">
      <c r="A181" s="133" t="s">
        <v>709</v>
      </c>
      <c r="B181" s="131">
        <f t="shared" si="5"/>
        <v>177</v>
      </c>
      <c r="C181" s="129" t="str">
        <f t="shared" si="4"/>
        <v>NPA</v>
      </c>
      <c r="D181" s="107"/>
      <c r="E181" s="317"/>
      <c r="F181" s="310" t="s">
        <v>278</v>
      </c>
      <c r="G181" s="318" t="s">
        <v>559</v>
      </c>
      <c r="H181" s="319" t="s">
        <v>278</v>
      </c>
    </row>
    <row r="182" spans="1:8" ht="15" customHeight="1" x14ac:dyDescent="0.3">
      <c r="A182" s="133" t="s">
        <v>711</v>
      </c>
      <c r="B182" s="131">
        <f t="shared" si="5"/>
        <v>178</v>
      </c>
      <c r="C182" s="129" t="str">
        <f t="shared" si="4"/>
        <v>Sito Internet</v>
      </c>
      <c r="D182" s="107"/>
      <c r="E182" s="317"/>
      <c r="F182" s="310" t="s">
        <v>279</v>
      </c>
      <c r="G182" s="318" t="s">
        <v>801</v>
      </c>
      <c r="H182" s="319" t="s">
        <v>1027</v>
      </c>
    </row>
    <row r="183" spans="1:8" ht="15" customHeight="1" x14ac:dyDescent="0.3">
      <c r="A183" s="133" t="s">
        <v>721</v>
      </c>
      <c r="B183" s="131">
        <f t="shared" si="5"/>
        <v>179</v>
      </c>
      <c r="C183" s="129" t="str">
        <f t="shared" si="4"/>
        <v>Breve descrizione dell'attività dei responsabili del programma</v>
      </c>
      <c r="D183" s="107"/>
      <c r="E183" s="317"/>
      <c r="F183" s="310" t="s">
        <v>280</v>
      </c>
      <c r="G183" s="318" t="s">
        <v>800</v>
      </c>
      <c r="H183" s="319" t="s">
        <v>1028</v>
      </c>
    </row>
    <row r="184" spans="1:8" ht="15" customHeight="1" x14ac:dyDescent="0.3">
      <c r="A184" s="133" t="s">
        <v>713</v>
      </c>
      <c r="B184" s="131">
        <f t="shared" si="5"/>
        <v>180</v>
      </c>
      <c r="C184" s="129" t="str">
        <f t="shared" si="4"/>
        <v>Referente per le gare pubbliche</v>
      </c>
      <c r="D184" s="107"/>
      <c r="E184" s="317"/>
      <c r="F184" s="310" t="s">
        <v>281</v>
      </c>
      <c r="G184" s="318" t="s">
        <v>21</v>
      </c>
      <c r="H184" s="319" t="s">
        <v>1029</v>
      </c>
    </row>
    <row r="185" spans="1:8" ht="15" customHeight="1" x14ac:dyDescent="0.3">
      <c r="A185" s="133" t="s">
        <v>715</v>
      </c>
      <c r="B185" s="131">
        <f t="shared" si="5"/>
        <v>181</v>
      </c>
      <c r="C185" s="129" t="str">
        <f t="shared" si="4"/>
        <v>Organizzazione</v>
      </c>
      <c r="D185" s="107"/>
      <c r="E185" s="317"/>
      <c r="F185" s="310" t="s">
        <v>857</v>
      </c>
      <c r="G185" s="318" t="s">
        <v>857</v>
      </c>
      <c r="H185" s="319" t="s">
        <v>1030</v>
      </c>
    </row>
    <row r="186" spans="1:8" ht="15" customHeight="1" x14ac:dyDescent="0.3">
      <c r="A186" s="133" t="s">
        <v>716</v>
      </c>
      <c r="B186" s="131">
        <f t="shared" si="5"/>
        <v>182</v>
      </c>
      <c r="C186" s="129" t="str">
        <f t="shared" si="4"/>
        <v>Cognome</v>
      </c>
      <c r="D186" s="107"/>
      <c r="E186" s="317"/>
      <c r="F186" s="310" t="s">
        <v>282</v>
      </c>
      <c r="G186" s="318" t="s">
        <v>561</v>
      </c>
      <c r="H186" s="319" t="s">
        <v>1031</v>
      </c>
    </row>
    <row r="187" spans="1:8" ht="15" customHeight="1" x14ac:dyDescent="0.3">
      <c r="A187" s="133" t="s">
        <v>718</v>
      </c>
      <c r="B187" s="131">
        <f t="shared" si="5"/>
        <v>183</v>
      </c>
      <c r="C187" s="129" t="str">
        <f t="shared" si="4"/>
        <v>Funzione</v>
      </c>
      <c r="D187" s="107"/>
      <c r="E187" s="317"/>
      <c r="F187" s="310" t="s">
        <v>283</v>
      </c>
      <c r="G187" s="318" t="s">
        <v>563</v>
      </c>
      <c r="H187" s="319" t="s">
        <v>1032</v>
      </c>
    </row>
    <row r="188" spans="1:8" ht="15" customHeight="1" x14ac:dyDescent="0.3">
      <c r="A188" s="133" t="s">
        <v>701</v>
      </c>
      <c r="B188" s="131">
        <f t="shared" si="5"/>
        <v>184</v>
      </c>
      <c r="C188" s="129" t="str">
        <f t="shared" si="4"/>
        <v>Telefono</v>
      </c>
      <c r="D188" s="107"/>
      <c r="E188" s="317"/>
      <c r="F188" s="310" t="s">
        <v>284</v>
      </c>
      <c r="G188" s="318" t="s">
        <v>564</v>
      </c>
      <c r="H188" s="319" t="s">
        <v>1033</v>
      </c>
    </row>
    <row r="189" spans="1:8" ht="15" customHeight="1" x14ac:dyDescent="0.3">
      <c r="A189" s="133" t="s">
        <v>719</v>
      </c>
      <c r="B189" s="131">
        <f t="shared" si="5"/>
        <v>185</v>
      </c>
      <c r="C189" s="129" t="str">
        <f t="shared" si="4"/>
        <v>E-mail</v>
      </c>
      <c r="D189" s="107"/>
      <c r="E189" s="317"/>
      <c r="F189" s="310" t="s">
        <v>161</v>
      </c>
      <c r="G189" s="318" t="s">
        <v>161</v>
      </c>
      <c r="H189" s="319" t="s">
        <v>161</v>
      </c>
    </row>
    <row r="190" spans="1:8" ht="15" customHeight="1" x14ac:dyDescent="0.3">
      <c r="A190" s="133" t="s">
        <v>703</v>
      </c>
      <c r="B190" s="131">
        <f t="shared" si="5"/>
        <v>186</v>
      </c>
      <c r="C190" s="129" t="str">
        <f t="shared" si="4"/>
        <v>Altre organizzazioni nell'ente responsabile</v>
      </c>
      <c r="D190" s="107"/>
      <c r="E190" s="317"/>
      <c r="F190" s="310" t="s">
        <v>285</v>
      </c>
      <c r="G190" s="318" t="s">
        <v>20</v>
      </c>
      <c r="H190" s="319" t="s">
        <v>1034</v>
      </c>
    </row>
    <row r="191" spans="1:8" ht="15" customHeight="1" x14ac:dyDescent="0.3">
      <c r="A191" s="133" t="s">
        <v>652</v>
      </c>
      <c r="B191" s="131">
        <f t="shared" si="5"/>
        <v>187</v>
      </c>
      <c r="C191" s="129" t="str">
        <f t="shared" si="4"/>
        <v>Organizzazione 2</v>
      </c>
      <c r="D191" s="107"/>
      <c r="E191" s="317"/>
      <c r="F191" s="310" t="s">
        <v>17</v>
      </c>
      <c r="G191" s="318" t="s">
        <v>17</v>
      </c>
      <c r="H191" s="319" t="s">
        <v>1035</v>
      </c>
    </row>
    <row r="192" spans="1:8" ht="15" customHeight="1" x14ac:dyDescent="0.3">
      <c r="A192" s="133" t="s">
        <v>720</v>
      </c>
      <c r="B192" s="131">
        <f t="shared" si="5"/>
        <v>188</v>
      </c>
      <c r="C192" s="129" t="str">
        <f t="shared" si="4"/>
        <v>Organizzazione 3</v>
      </c>
      <c r="D192" s="107"/>
      <c r="E192" s="317"/>
      <c r="F192" s="310" t="s">
        <v>18</v>
      </c>
      <c r="G192" s="318" t="s">
        <v>18</v>
      </c>
      <c r="H192" s="319" t="s">
        <v>1036</v>
      </c>
    </row>
    <row r="193" spans="1:8" ht="15" customHeight="1" x14ac:dyDescent="0.3">
      <c r="A193" s="133" t="s">
        <v>704</v>
      </c>
      <c r="B193" s="131">
        <f t="shared" si="5"/>
        <v>189</v>
      </c>
      <c r="C193" s="129" t="str">
        <f t="shared" si="4"/>
        <v>Organizzazione 4</v>
      </c>
      <c r="D193" s="107"/>
      <c r="E193" s="317"/>
      <c r="F193" s="310" t="s">
        <v>19</v>
      </c>
      <c r="G193" s="318" t="s">
        <v>19</v>
      </c>
      <c r="H193" s="319" t="s">
        <v>1037</v>
      </c>
    </row>
    <row r="194" spans="1:8" ht="15" customHeight="1" x14ac:dyDescent="0.3">
      <c r="A194" s="133" t="s">
        <v>717</v>
      </c>
      <c r="B194" s="131">
        <f t="shared" si="5"/>
        <v>190</v>
      </c>
      <c r="C194" s="129" t="str">
        <f t="shared" si="4"/>
        <v>Nome</v>
      </c>
      <c r="D194" s="107"/>
      <c r="E194" s="317"/>
      <c r="F194" s="310" t="s">
        <v>286</v>
      </c>
      <c r="G194" s="318" t="s">
        <v>562</v>
      </c>
      <c r="H194" s="319" t="s">
        <v>1038</v>
      </c>
    </row>
    <row r="195" spans="1:8" ht="15" customHeight="1" x14ac:dyDescent="0.3">
      <c r="A195" s="133" t="s">
        <v>855</v>
      </c>
      <c r="B195" s="131">
        <f t="shared" si="5"/>
        <v>191</v>
      </c>
      <c r="C195" s="129" t="str">
        <f t="shared" si="4"/>
        <v>Telefono cellulare</v>
      </c>
      <c r="D195" s="107"/>
      <c r="E195" s="317"/>
      <c r="F195" s="310" t="s">
        <v>287</v>
      </c>
      <c r="G195" s="318" t="s">
        <v>854</v>
      </c>
      <c r="H195" s="319" t="s">
        <v>1039</v>
      </c>
    </row>
    <row r="196" spans="1:8" ht="15" customHeight="1" x14ac:dyDescent="0.3">
      <c r="A196" s="133" t="s">
        <v>710</v>
      </c>
      <c r="B196" s="131">
        <f t="shared" si="5"/>
        <v>192</v>
      </c>
      <c r="C196" s="129" t="str">
        <f t="shared" si="4"/>
        <v>Città</v>
      </c>
      <c r="D196" s="107"/>
      <c r="E196" s="317"/>
      <c r="F196" s="310" t="s">
        <v>288</v>
      </c>
      <c r="G196" s="318" t="s">
        <v>560</v>
      </c>
      <c r="H196" s="319" t="s">
        <v>1040</v>
      </c>
    </row>
    <row r="197" spans="1:8" ht="15" customHeight="1" x14ac:dyDescent="0.3">
      <c r="A197" s="133" t="s">
        <v>743</v>
      </c>
      <c r="B197" s="131">
        <f t="shared" si="5"/>
        <v>193</v>
      </c>
      <c r="C197" s="129" t="str">
        <f t="shared" ref="C197:C260" si="6">IF($B$1="f",F197,IF($B$1="d",G197,H197))</f>
        <v>Le singole organizzazioni del ente responsabile devono essere dettagliate nel concetto del programma.</v>
      </c>
      <c r="D197" s="107"/>
      <c r="E197" s="317"/>
      <c r="F197" s="310" t="s">
        <v>1449</v>
      </c>
      <c r="G197" s="318" t="s">
        <v>1447</v>
      </c>
      <c r="H197" s="319" t="s">
        <v>1448</v>
      </c>
    </row>
    <row r="198" spans="1:8" ht="15" customHeight="1" x14ac:dyDescent="0.3">
      <c r="A198" s="133" t="s">
        <v>729</v>
      </c>
      <c r="B198" s="131">
        <f t="shared" ref="B198:B261" si="7">B197+1</f>
        <v>194</v>
      </c>
      <c r="C198" s="129" t="str">
        <f t="shared" si="6"/>
        <v>Nome dell'organizzazione dell'ente responsabile</v>
      </c>
      <c r="D198" s="107"/>
      <c r="E198" s="317"/>
      <c r="F198" s="310" t="s">
        <v>1329</v>
      </c>
      <c r="G198" s="318" t="s">
        <v>804</v>
      </c>
      <c r="H198" s="319" t="s">
        <v>1041</v>
      </c>
    </row>
    <row r="199" spans="1:8" ht="15" customHeight="1" x14ac:dyDescent="0.3">
      <c r="A199" s="133" t="s">
        <v>723</v>
      </c>
      <c r="B199" s="131">
        <f t="shared" si="7"/>
        <v>195</v>
      </c>
      <c r="C199" s="129" t="str">
        <f t="shared" si="6"/>
        <v xml:space="preserve">Spiegazione o precisazione sulla forma giuridica qualora si tratti di persona privata, ente di diritto pubblico o altro </v>
      </c>
      <c r="D199" s="107"/>
      <c r="E199" s="317"/>
      <c r="F199" s="310" t="s">
        <v>289</v>
      </c>
      <c r="G199" s="318" t="s">
        <v>162</v>
      </c>
      <c r="H199" s="319" t="s">
        <v>1042</v>
      </c>
    </row>
    <row r="200" spans="1:8" ht="15" customHeight="1" x14ac:dyDescent="0.3">
      <c r="A200" s="133" t="s">
        <v>724</v>
      </c>
      <c r="B200" s="131">
        <f t="shared" si="7"/>
        <v>196</v>
      </c>
      <c r="C200" s="129" t="str">
        <f t="shared" si="6"/>
        <v>Via; indirizzo</v>
      </c>
      <c r="D200" s="107"/>
      <c r="E200" s="317"/>
      <c r="F200" s="310" t="s">
        <v>290</v>
      </c>
      <c r="G200" s="318" t="s">
        <v>856</v>
      </c>
      <c r="H200" s="319" t="s">
        <v>1043</v>
      </c>
    </row>
    <row r="201" spans="1:8" ht="15" customHeight="1" x14ac:dyDescent="0.3">
      <c r="A201" s="133" t="s">
        <v>725</v>
      </c>
      <c r="B201" s="131">
        <f t="shared" si="7"/>
        <v>197</v>
      </c>
      <c r="C201" s="129" t="str">
        <f t="shared" si="6"/>
        <v>NPA e città</v>
      </c>
      <c r="D201" s="107"/>
      <c r="E201" s="317"/>
      <c r="F201" s="310" t="s">
        <v>291</v>
      </c>
      <c r="G201" s="318" t="s">
        <v>598</v>
      </c>
      <c r="H201" s="319" t="s">
        <v>1044</v>
      </c>
    </row>
    <row r="202" spans="1:8" ht="15" customHeight="1" x14ac:dyDescent="0.3">
      <c r="A202" s="133" t="s">
        <v>738</v>
      </c>
      <c r="B202" s="131">
        <f t="shared" si="7"/>
        <v>198</v>
      </c>
      <c r="C202" s="129" t="str">
        <f t="shared" si="6"/>
        <v>Descrizione dell'attività, del numero di collaboratori e dell'esperienza</v>
      </c>
      <c r="D202" s="107"/>
      <c r="E202" s="317"/>
      <c r="F202" s="310" t="s">
        <v>292</v>
      </c>
      <c r="G202" s="318" t="s">
        <v>758</v>
      </c>
      <c r="H202" s="319" t="s">
        <v>1045</v>
      </c>
    </row>
    <row r="203" spans="1:8" ht="15" customHeight="1" x14ac:dyDescent="0.3">
      <c r="A203" s="133" t="s">
        <v>727</v>
      </c>
      <c r="B203" s="131">
        <f t="shared" si="7"/>
        <v>199</v>
      </c>
      <c r="C203" s="129" t="str">
        <f t="shared" si="6"/>
        <v>Nome dell'organizzazione del referente</v>
      </c>
      <c r="D203" s="107"/>
      <c r="E203" s="317"/>
      <c r="F203" s="310" t="s">
        <v>293</v>
      </c>
      <c r="G203" s="318" t="s">
        <v>805</v>
      </c>
      <c r="H203" s="319" t="s">
        <v>1046</v>
      </c>
    </row>
    <row r="204" spans="1:8" ht="15" customHeight="1" x14ac:dyDescent="0.3">
      <c r="A204" s="133" t="s">
        <v>737</v>
      </c>
      <c r="B204" s="131">
        <f t="shared" si="7"/>
        <v>200</v>
      </c>
      <c r="C204" s="129" t="str">
        <f t="shared" si="6"/>
        <v>Inserimento dei numeri nella forma "044 245 65 43"</v>
      </c>
      <c r="D204" s="107"/>
      <c r="E204" s="317"/>
      <c r="F204" s="310" t="s">
        <v>294</v>
      </c>
      <c r="G204" s="318" t="s">
        <v>830</v>
      </c>
      <c r="H204" s="319" t="s">
        <v>1047</v>
      </c>
    </row>
    <row r="205" spans="1:8" ht="15" customHeight="1" x14ac:dyDescent="0.3">
      <c r="A205" s="133" t="s">
        <v>733</v>
      </c>
      <c r="B205" s="131">
        <f t="shared" si="7"/>
        <v>201</v>
      </c>
      <c r="C205" s="129" t="str">
        <f t="shared" si="6"/>
        <v>Per descrizioni dettagliate degli altri partner dei responsabili del programma, utilizzare i formulari P1-P3. Fare clic sul link Partner x.</v>
      </c>
      <c r="D205" s="107"/>
      <c r="E205" s="317"/>
      <c r="F205" s="310" t="s">
        <v>518</v>
      </c>
      <c r="G205" s="318" t="s">
        <v>133</v>
      </c>
      <c r="H205" s="319" t="s">
        <v>1048</v>
      </c>
    </row>
    <row r="206" spans="1:8" ht="15" customHeight="1" x14ac:dyDescent="0.3">
      <c r="A206" s="133" t="s">
        <v>735</v>
      </c>
      <c r="B206" s="131">
        <f t="shared" si="7"/>
        <v>202</v>
      </c>
      <c r="C206" s="129" t="str">
        <f t="shared" si="6"/>
        <v xml:space="preserve">Nome dell'organizzazione 2 dell'ente responsabile </v>
      </c>
      <c r="D206" s="107"/>
      <c r="E206" s="317"/>
      <c r="F206" s="310" t="s">
        <v>295</v>
      </c>
      <c r="G206" s="318" t="s">
        <v>22</v>
      </c>
      <c r="H206" s="319" t="s">
        <v>1049</v>
      </c>
    </row>
    <row r="207" spans="1:8" ht="15" customHeight="1" x14ac:dyDescent="0.3">
      <c r="A207" s="133" t="s">
        <v>736</v>
      </c>
      <c r="B207" s="131">
        <f t="shared" si="7"/>
        <v>203</v>
      </c>
      <c r="C207" s="129" t="str">
        <f t="shared" si="6"/>
        <v>Nome dell'organizzazione 3 dell'ente responsabile</v>
      </c>
      <c r="D207" s="107"/>
      <c r="E207" s="317"/>
      <c r="F207" s="310" t="s">
        <v>296</v>
      </c>
      <c r="G207" s="318" t="s">
        <v>23</v>
      </c>
      <c r="H207" s="319" t="s">
        <v>1050</v>
      </c>
    </row>
    <row r="208" spans="1:8" ht="15" customHeight="1" x14ac:dyDescent="0.3">
      <c r="A208" s="133" t="s">
        <v>734</v>
      </c>
      <c r="B208" s="131">
        <f t="shared" si="7"/>
        <v>204</v>
      </c>
      <c r="C208" s="129" t="str">
        <f t="shared" si="6"/>
        <v>Nome dell'organizzazione 4 dell'ente responsabile</v>
      </c>
      <c r="D208" s="107"/>
      <c r="E208" s="317"/>
      <c r="F208" s="310" t="s">
        <v>297</v>
      </c>
      <c r="G208" s="318" t="s">
        <v>24</v>
      </c>
      <c r="H208" s="319" t="s">
        <v>1051</v>
      </c>
    </row>
    <row r="209" spans="1:8" ht="15" customHeight="1" x14ac:dyDescent="0.3">
      <c r="A209" s="133" t="s">
        <v>704</v>
      </c>
      <c r="B209" s="131">
        <f t="shared" si="7"/>
        <v>205</v>
      </c>
      <c r="C209" s="129" t="str">
        <f t="shared" si="6"/>
        <v>Strutturazione dell'organizzazione</v>
      </c>
      <c r="D209" s="107"/>
      <c r="E209" s="317"/>
      <c r="F209" s="310" t="s">
        <v>298</v>
      </c>
      <c r="G209" s="318" t="s">
        <v>25</v>
      </c>
      <c r="H209" s="319" t="s">
        <v>1052</v>
      </c>
    </row>
    <row r="210" spans="1:8" ht="15" customHeight="1" x14ac:dyDescent="0.3">
      <c r="A210" s="133" t="s">
        <v>706</v>
      </c>
      <c r="B210" s="131">
        <f t="shared" si="7"/>
        <v>206</v>
      </c>
      <c r="C210" s="129" t="str">
        <f t="shared" si="6"/>
        <v>Ruolo e funzione nel programma</v>
      </c>
      <c r="D210" s="107"/>
      <c r="E210" s="317"/>
      <c r="F210" s="310" t="s">
        <v>299</v>
      </c>
      <c r="G210" s="318" t="s">
        <v>756</v>
      </c>
      <c r="H210" s="319" t="s">
        <v>1053</v>
      </c>
    </row>
    <row r="211" spans="1:8" ht="15" customHeight="1" x14ac:dyDescent="0.3">
      <c r="A211" s="133" t="s">
        <v>722</v>
      </c>
      <c r="B211" s="131">
        <f t="shared" si="7"/>
        <v>207</v>
      </c>
      <c r="C211" s="129" t="str">
        <f t="shared" si="6"/>
        <v>Descrizione del ruolo e della funzione dell'organizzazione nel programma</v>
      </c>
      <c r="D211" s="107"/>
      <c r="E211" s="317"/>
      <c r="F211" s="310" t="s">
        <v>300</v>
      </c>
      <c r="G211" s="318" t="s">
        <v>757</v>
      </c>
      <c r="H211" s="319" t="s">
        <v>1054</v>
      </c>
    </row>
    <row r="212" spans="1:8" ht="15" customHeight="1" x14ac:dyDescent="0.3">
      <c r="A212" s="133"/>
      <c r="B212" s="131">
        <f t="shared" si="7"/>
        <v>208</v>
      </c>
      <c r="C212" s="129" t="str">
        <f t="shared" si="6"/>
        <v>Come sono strutturate l'organizzazione e la collaborazione delle organizzazioni coinvolte?</v>
      </c>
      <c r="D212" s="107"/>
      <c r="E212" s="317"/>
      <c r="F212" s="310" t="s">
        <v>301</v>
      </c>
      <c r="G212" s="318" t="s">
        <v>163</v>
      </c>
      <c r="H212" s="319" t="s">
        <v>1055</v>
      </c>
    </row>
    <row r="213" spans="1:8" ht="15" customHeight="1" x14ac:dyDescent="0.3">
      <c r="A213" s="133"/>
      <c r="B213" s="131">
        <f t="shared" si="7"/>
        <v>209</v>
      </c>
      <c r="C213" s="129" t="str">
        <f t="shared" si="6"/>
        <v>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v>
      </c>
      <c r="D213" s="107"/>
      <c r="E213" s="317"/>
      <c r="F213" s="310" t="s">
        <v>302</v>
      </c>
      <c r="G213" s="318" t="s">
        <v>134</v>
      </c>
      <c r="H213" s="319" t="s">
        <v>1056</v>
      </c>
    </row>
    <row r="214" spans="1:8" ht="15" customHeight="1" x14ac:dyDescent="0.3">
      <c r="A214" s="133"/>
      <c r="B214" s="131">
        <f t="shared" si="7"/>
        <v>210</v>
      </c>
      <c r="C214" s="129" t="str">
        <f t="shared" si="6"/>
        <v>Competenza per questo compito</v>
      </c>
      <c r="D214" s="107"/>
      <c r="E214" s="317"/>
      <c r="F214" s="310" t="s">
        <v>303</v>
      </c>
      <c r="G214" s="318" t="s">
        <v>759</v>
      </c>
      <c r="H214" s="319" t="s">
        <v>1057</v>
      </c>
    </row>
    <row r="215" spans="1:8" ht="15" customHeight="1" x14ac:dyDescent="0.3">
      <c r="A215" s="133"/>
      <c r="B215" s="131">
        <f t="shared" si="7"/>
        <v>211</v>
      </c>
      <c r="C215" s="129" t="str">
        <f t="shared" si="6"/>
        <v>Descrizione della competenza disponibile per questo compito</v>
      </c>
      <c r="D215" s="107"/>
      <c r="E215" s="317"/>
      <c r="F215" s="310" t="s">
        <v>304</v>
      </c>
      <c r="G215" s="318" t="s">
        <v>760</v>
      </c>
      <c r="H215" s="319" t="s">
        <v>1058</v>
      </c>
    </row>
    <row r="216" spans="1:8" ht="15" customHeight="1" x14ac:dyDescent="0.3">
      <c r="A216" s="133"/>
      <c r="B216" s="131">
        <f t="shared" si="7"/>
        <v>212</v>
      </c>
      <c r="C216" s="129" t="str">
        <f t="shared" si="6"/>
        <v>Referenze</v>
      </c>
      <c r="D216" s="107"/>
      <c r="E216" s="317"/>
      <c r="F216" s="310" t="s">
        <v>305</v>
      </c>
      <c r="G216" s="318" t="s">
        <v>761</v>
      </c>
      <c r="H216" s="319" t="s">
        <v>1059</v>
      </c>
    </row>
    <row r="217" spans="1:8" ht="15" customHeight="1" x14ac:dyDescent="0.3">
      <c r="A217" s="133"/>
      <c r="B217" s="131">
        <f t="shared" si="7"/>
        <v>213</v>
      </c>
      <c r="C217" s="129" t="str">
        <f t="shared" si="6"/>
        <v>Indicazione di progetti di riferimento comparabili</v>
      </c>
      <c r="D217" s="107"/>
      <c r="E217" s="317"/>
      <c r="F217" s="310" t="s">
        <v>306</v>
      </c>
      <c r="G217" s="318" t="s">
        <v>762</v>
      </c>
      <c r="H217" s="319" t="s">
        <v>1060</v>
      </c>
    </row>
    <row r="218" spans="1:8" ht="15" customHeight="1" x14ac:dyDescent="0.3">
      <c r="A218" s="133"/>
      <c r="B218" s="131">
        <f t="shared" si="7"/>
        <v>214</v>
      </c>
      <c r="C218" s="129" t="str">
        <f t="shared" si="6"/>
        <v>Risorse di personale</v>
      </c>
      <c r="D218" s="107"/>
      <c r="E218" s="317"/>
      <c r="F218" s="310" t="s">
        <v>307</v>
      </c>
      <c r="G218" s="318" t="s">
        <v>27</v>
      </c>
      <c r="H218" s="319" t="s">
        <v>1061</v>
      </c>
    </row>
    <row r="219" spans="1:8" ht="15" customHeight="1" x14ac:dyDescent="0.3">
      <c r="A219" s="133"/>
      <c r="B219" s="131">
        <f t="shared" si="7"/>
        <v>215</v>
      </c>
      <c r="C219" s="129" t="str">
        <f t="shared" si="6"/>
        <v>Per le persone chiave allegare il curriculum vitae</v>
      </c>
      <c r="D219" s="107"/>
      <c r="E219" s="317"/>
      <c r="F219" s="310" t="s">
        <v>308</v>
      </c>
      <c r="G219" s="318" t="s">
        <v>16</v>
      </c>
      <c r="H219" s="319" t="s">
        <v>1062</v>
      </c>
    </row>
    <row r="220" spans="1:8" ht="15" customHeight="1" x14ac:dyDescent="0.3">
      <c r="A220" s="133"/>
      <c r="B220" s="131">
        <f t="shared" si="7"/>
        <v>216</v>
      </c>
      <c r="C220" s="129" t="str">
        <f t="shared" si="6"/>
        <v>Persona 1 (responsabile del progetto e referente)</v>
      </c>
      <c r="D220" s="107"/>
      <c r="E220" s="317"/>
      <c r="F220" s="310" t="s">
        <v>309</v>
      </c>
      <c r="G220" s="318" t="s">
        <v>28</v>
      </c>
      <c r="H220" s="319" t="s">
        <v>1063</v>
      </c>
    </row>
    <row r="221" spans="1:8" ht="15" customHeight="1" x14ac:dyDescent="0.3">
      <c r="A221" s="133"/>
      <c r="B221" s="131">
        <f t="shared" si="7"/>
        <v>217</v>
      </c>
      <c r="C221" s="129" t="str">
        <f t="shared" si="6"/>
        <v>Persona 2</v>
      </c>
      <c r="D221" s="107"/>
      <c r="E221" s="317"/>
      <c r="F221" s="310" t="s">
        <v>310</v>
      </c>
      <c r="G221" s="318" t="s">
        <v>765</v>
      </c>
      <c r="H221" s="319" t="s">
        <v>1064</v>
      </c>
    </row>
    <row r="222" spans="1:8" ht="15" customHeight="1" x14ac:dyDescent="0.3">
      <c r="A222" s="133"/>
      <c r="B222" s="131">
        <f t="shared" si="7"/>
        <v>218</v>
      </c>
      <c r="C222" s="129" t="str">
        <f t="shared" si="6"/>
        <v>Persona 3</v>
      </c>
      <c r="D222" s="107"/>
      <c r="E222" s="317"/>
      <c r="F222" s="310" t="s">
        <v>311</v>
      </c>
      <c r="G222" s="318" t="s">
        <v>766</v>
      </c>
      <c r="H222" s="319" t="s">
        <v>1065</v>
      </c>
    </row>
    <row r="223" spans="1:8" ht="15" customHeight="1" x14ac:dyDescent="0.3">
      <c r="A223" s="133"/>
      <c r="B223" s="131">
        <f t="shared" si="7"/>
        <v>219</v>
      </c>
      <c r="C223" s="129" t="str">
        <f t="shared" si="6"/>
        <v>Persona 4</v>
      </c>
      <c r="D223" s="107"/>
      <c r="E223" s="317"/>
      <c r="F223" s="310" t="s">
        <v>312</v>
      </c>
      <c r="G223" s="318" t="s">
        <v>767</v>
      </c>
      <c r="H223" s="319" t="s">
        <v>1066</v>
      </c>
    </row>
    <row r="224" spans="1:8" ht="15" customHeight="1" x14ac:dyDescent="0.3">
      <c r="A224" s="133"/>
      <c r="B224" s="131">
        <f t="shared" si="7"/>
        <v>220</v>
      </c>
      <c r="C224" s="129" t="str">
        <f t="shared" si="6"/>
        <v>Ruolo</v>
      </c>
      <c r="D224" s="107"/>
      <c r="E224" s="317"/>
      <c r="F224" s="310" t="s">
        <v>313</v>
      </c>
      <c r="G224" s="318" t="s">
        <v>764</v>
      </c>
      <c r="H224" s="319" t="s">
        <v>1067</v>
      </c>
    </row>
    <row r="225" spans="1:8" ht="15" customHeight="1" x14ac:dyDescent="0.3">
      <c r="A225" s="133"/>
      <c r="B225" s="131">
        <f t="shared" si="7"/>
        <v>221</v>
      </c>
      <c r="C225" s="129" t="str">
        <f t="shared" si="6"/>
        <v>Funzione nell'azienda</v>
      </c>
      <c r="D225" s="107"/>
      <c r="E225" s="317"/>
      <c r="F225" s="310" t="s">
        <v>314</v>
      </c>
      <c r="G225" s="318" t="s">
        <v>29</v>
      </c>
      <c r="H225" s="319" t="s">
        <v>1068</v>
      </c>
    </row>
    <row r="226" spans="1:8" ht="15" customHeight="1" x14ac:dyDescent="0.3">
      <c r="A226" s="133"/>
      <c r="B226" s="131">
        <f t="shared" si="7"/>
        <v>222</v>
      </c>
      <c r="C226" s="129" t="str">
        <f t="shared" si="6"/>
        <v>Ruolo nel progetto</v>
      </c>
      <c r="D226" s="107"/>
      <c r="E226" s="317"/>
      <c r="F226" s="310" t="s">
        <v>315</v>
      </c>
      <c r="G226" s="318" t="s">
        <v>763</v>
      </c>
      <c r="H226" s="319" t="s">
        <v>1069</v>
      </c>
    </row>
    <row r="227" spans="1:8" ht="15" customHeight="1" x14ac:dyDescent="0.3">
      <c r="A227" s="133"/>
      <c r="B227" s="131">
        <f t="shared" si="7"/>
        <v>223</v>
      </c>
      <c r="C227" s="129">
        <f t="shared" si="6"/>
        <v>0</v>
      </c>
      <c r="D227" s="107"/>
      <c r="E227" s="317"/>
      <c r="F227" s="310"/>
      <c r="G227" s="318"/>
      <c r="H227" s="319"/>
    </row>
    <row r="228" spans="1:8" ht="15" customHeight="1" x14ac:dyDescent="0.3">
      <c r="A228" s="133"/>
      <c r="B228" s="131">
        <f t="shared" si="7"/>
        <v>224</v>
      </c>
      <c r="C228" s="129">
        <f t="shared" si="6"/>
        <v>0</v>
      </c>
      <c r="D228" s="107"/>
      <c r="E228" s="317"/>
      <c r="F228" s="310"/>
      <c r="G228" s="318"/>
      <c r="H228" s="319"/>
    </row>
    <row r="229" spans="1:8" ht="15" customHeight="1" x14ac:dyDescent="0.3">
      <c r="A229" s="130" t="s">
        <v>567</v>
      </c>
      <c r="B229" s="131">
        <f t="shared" si="7"/>
        <v>225</v>
      </c>
      <c r="C229" s="129">
        <f t="shared" si="6"/>
        <v>0</v>
      </c>
      <c r="D229" s="107"/>
      <c r="E229" s="317"/>
      <c r="F229" s="310"/>
      <c r="G229" s="318"/>
      <c r="H229" s="319"/>
    </row>
    <row r="230" spans="1:8" ht="15" customHeight="1" x14ac:dyDescent="0.3">
      <c r="A230" s="133" t="s">
        <v>705</v>
      </c>
      <c r="B230" s="131">
        <f t="shared" si="7"/>
        <v>226</v>
      </c>
      <c r="C230" s="129" t="str">
        <f t="shared" si="6"/>
        <v>Applicazioni, operatori di mercato e investimenti generati</v>
      </c>
      <c r="D230" s="107"/>
      <c r="E230" s="317"/>
      <c r="F230" s="310" t="s">
        <v>1286</v>
      </c>
      <c r="G230" s="318" t="s">
        <v>1287</v>
      </c>
      <c r="H230" s="319" t="s">
        <v>1070</v>
      </c>
    </row>
    <row r="231" spans="1:8" ht="15" customHeight="1" x14ac:dyDescent="0.3">
      <c r="A231" s="133" t="s">
        <v>637</v>
      </c>
      <c r="B231" s="131">
        <f t="shared" si="7"/>
        <v>227</v>
      </c>
      <c r="C231" s="129" t="str">
        <f t="shared" si="6"/>
        <v>Quale applicazione si intende influenzare?</v>
      </c>
      <c r="D231" s="107"/>
      <c r="E231" s="317"/>
      <c r="F231" s="310" t="s">
        <v>316</v>
      </c>
      <c r="G231" s="318" t="s">
        <v>822</v>
      </c>
      <c r="H231" s="319" t="s">
        <v>1071</v>
      </c>
    </row>
    <row r="232" spans="1:8" ht="15" customHeight="1" x14ac:dyDescent="0.3">
      <c r="A232" s="133" t="s">
        <v>706</v>
      </c>
      <c r="B232" s="131">
        <f t="shared" si="7"/>
        <v>228</v>
      </c>
      <c r="C232" s="129" t="str">
        <f t="shared" si="6"/>
        <v>Quali sono gli operatori di mercato rilevanti?</v>
      </c>
      <c r="D232" s="107"/>
      <c r="E232" s="317"/>
      <c r="F232" s="310" t="s">
        <v>317</v>
      </c>
      <c r="G232" s="318" t="s">
        <v>768</v>
      </c>
      <c r="H232" s="319" t="s">
        <v>1072</v>
      </c>
    </row>
    <row r="233" spans="1:8" ht="15" customHeight="1" x14ac:dyDescent="0.3">
      <c r="A233" s="133"/>
      <c r="B233" s="131">
        <f t="shared" si="7"/>
        <v>229</v>
      </c>
      <c r="C233" s="129" t="str">
        <f t="shared" si="6"/>
        <v>Quali investimenti genera il programma?</v>
      </c>
      <c r="D233" s="107"/>
      <c r="E233" s="317"/>
      <c r="F233" s="310" t="s">
        <v>878</v>
      </c>
      <c r="G233" s="318" t="s">
        <v>526</v>
      </c>
      <c r="H233" s="319" t="s">
        <v>1073</v>
      </c>
    </row>
    <row r="234" spans="1:8" ht="15" customHeight="1" x14ac:dyDescent="0.3">
      <c r="A234" s="133" t="s">
        <v>708</v>
      </c>
      <c r="B234" s="131">
        <f t="shared" si="7"/>
        <v>230</v>
      </c>
      <c r="C234" s="129" t="str">
        <f t="shared" si="6"/>
        <v>Potenziali di efficienza e di risparmio (qualitativi)</v>
      </c>
      <c r="D234" s="107"/>
      <c r="E234" s="317"/>
      <c r="F234" s="310" t="s">
        <v>318</v>
      </c>
      <c r="G234" s="318" t="s">
        <v>769</v>
      </c>
      <c r="H234" s="319" t="s">
        <v>1074</v>
      </c>
    </row>
    <row r="235" spans="1:8" ht="15" customHeight="1" x14ac:dyDescent="0.3">
      <c r="A235" s="133" t="s">
        <v>709</v>
      </c>
      <c r="B235" s="131">
        <f t="shared" si="7"/>
        <v>231</v>
      </c>
      <c r="C235" s="129" t="str">
        <f t="shared" si="6"/>
        <v>Quali potenziali di efficienza e di risparmio esistono rispetto alla situazione attuale e con quali misure è possibile sfruttare questi potenziali?</v>
      </c>
      <c r="D235" s="107"/>
      <c r="E235" s="317"/>
      <c r="F235" s="310" t="s">
        <v>319</v>
      </c>
      <c r="G235" s="318" t="s">
        <v>30</v>
      </c>
      <c r="H235" s="319" t="s">
        <v>1075</v>
      </c>
    </row>
    <row r="236" spans="1:8" ht="15" customHeight="1" x14ac:dyDescent="0.3">
      <c r="A236" s="133" t="s">
        <v>711</v>
      </c>
      <c r="B236" s="131">
        <f t="shared" si="7"/>
        <v>232</v>
      </c>
      <c r="C236" s="129">
        <f t="shared" si="6"/>
        <v>0</v>
      </c>
      <c r="D236" s="107"/>
      <c r="E236" s="317"/>
      <c r="F236" s="310"/>
      <c r="G236" s="318"/>
      <c r="H236" s="319"/>
    </row>
    <row r="237" spans="1:8" ht="15" customHeight="1" x14ac:dyDescent="0.3">
      <c r="A237" s="133" t="s">
        <v>712</v>
      </c>
      <c r="B237" s="131">
        <f t="shared" si="7"/>
        <v>233</v>
      </c>
      <c r="C237" s="129" t="str">
        <f t="shared" si="6"/>
        <v>Barriere</v>
      </c>
      <c r="D237" s="107"/>
      <c r="E237" s="317"/>
      <c r="F237" s="310" t="s">
        <v>320</v>
      </c>
      <c r="G237" s="318" t="s">
        <v>548</v>
      </c>
      <c r="H237" s="319" t="s">
        <v>1076</v>
      </c>
    </row>
    <row r="238" spans="1:8" ht="15" customHeight="1" x14ac:dyDescent="0.3">
      <c r="A238" s="133" t="s">
        <v>713</v>
      </c>
      <c r="B238" s="131">
        <f t="shared" si="7"/>
        <v>234</v>
      </c>
      <c r="C238" s="129" t="str">
        <f t="shared" si="6"/>
        <v>Per quali motivi (barriere) finora i potenziali di risparmio non sono stati sfruttati?</v>
      </c>
      <c r="D238" s="107"/>
      <c r="E238" s="317"/>
      <c r="F238" s="310" t="s">
        <v>321</v>
      </c>
      <c r="G238" s="318" t="s">
        <v>145</v>
      </c>
      <c r="H238" s="319" t="s">
        <v>1077</v>
      </c>
    </row>
    <row r="239" spans="1:8" ht="15" customHeight="1" x14ac:dyDescent="0.3">
      <c r="A239" s="133" t="s">
        <v>715</v>
      </c>
      <c r="B239" s="131">
        <f t="shared" si="7"/>
        <v>235</v>
      </c>
      <c r="C239" s="129" t="str">
        <f t="shared" si="6"/>
        <v>Quanto sono rilevanti le varie barriere?</v>
      </c>
      <c r="D239" s="107"/>
      <c r="E239" s="317"/>
      <c r="F239" s="310" t="s">
        <v>322</v>
      </c>
      <c r="G239" s="318" t="s">
        <v>135</v>
      </c>
      <c r="H239" s="319" t="s">
        <v>1078</v>
      </c>
    </row>
    <row r="240" spans="1:8" ht="15" customHeight="1" x14ac:dyDescent="0.3">
      <c r="A240" s="133" t="s">
        <v>729</v>
      </c>
      <c r="B240" s="131">
        <f t="shared" si="7"/>
        <v>236</v>
      </c>
      <c r="C240" s="129" t="str">
        <f t="shared" si="6"/>
        <v>Descrizione della situazione iniziale e dell'applicazione sulle quali deve agire il programma.</v>
      </c>
      <c r="D240" s="107"/>
      <c r="E240" s="317"/>
      <c r="F240" s="310" t="s">
        <v>323</v>
      </c>
      <c r="G240" s="318" t="s">
        <v>146</v>
      </c>
      <c r="H240" s="319" t="s">
        <v>1079</v>
      </c>
    </row>
    <row r="241" spans="1:8" ht="15" customHeight="1" x14ac:dyDescent="0.3">
      <c r="A241" s="133" t="s">
        <v>722</v>
      </c>
      <c r="B241" s="131">
        <f t="shared" si="7"/>
        <v>237</v>
      </c>
      <c r="C241" s="129" t="str">
        <f t="shared" si="6"/>
        <v>Descrizione degli operatori di mercato rilevanti (utenti finali, soggetti attivi nel mercato, produttori) e del loro ruolo.</v>
      </c>
      <c r="D241" s="107"/>
      <c r="E241" s="317"/>
      <c r="F241" s="310" t="s">
        <v>324</v>
      </c>
      <c r="G241" s="318" t="s">
        <v>107</v>
      </c>
      <c r="H241" s="319" t="s">
        <v>1080</v>
      </c>
    </row>
    <row r="242" spans="1:8" ht="15" customHeight="1" x14ac:dyDescent="0.3">
      <c r="A242" s="133"/>
      <c r="B242" s="131">
        <f t="shared" si="7"/>
        <v>238</v>
      </c>
      <c r="C242" s="129" t="str">
        <f t="shared" si="6"/>
        <v>Stima degli investimenti complessivi generati dal programma.</v>
      </c>
      <c r="D242" s="107"/>
      <c r="E242" s="317"/>
      <c r="F242" s="310" t="s">
        <v>896</v>
      </c>
      <c r="G242" s="318" t="s">
        <v>527</v>
      </c>
      <c r="H242" s="319" t="s">
        <v>1081</v>
      </c>
    </row>
    <row r="243" spans="1:8" ht="15" customHeight="1" x14ac:dyDescent="0.3">
      <c r="A243" s="133" t="s">
        <v>725</v>
      </c>
      <c r="B243" s="131">
        <f t="shared" si="7"/>
        <v>239</v>
      </c>
      <c r="C243" s="129" t="str">
        <f t="shared" si="6"/>
        <v>Descrizione dei potenziali di risparmio rispetto alla situazione attuale.
Descrizione delle singole misure con cui è possibile sfruttare i potenziali.</v>
      </c>
      <c r="D243" s="107"/>
      <c r="E243" s="317"/>
      <c r="F243" s="310" t="s">
        <v>325</v>
      </c>
      <c r="G243" s="318" t="s">
        <v>147</v>
      </c>
      <c r="H243" s="319" t="s">
        <v>1082</v>
      </c>
    </row>
    <row r="244" spans="1:8" ht="15" customHeight="1" x14ac:dyDescent="0.3">
      <c r="A244" s="133" t="s">
        <v>732</v>
      </c>
      <c r="B244" s="131">
        <f t="shared" si="7"/>
        <v>240</v>
      </c>
      <c r="C244" s="129">
        <f t="shared" si="6"/>
        <v>0</v>
      </c>
      <c r="D244" s="107"/>
      <c r="E244" s="317"/>
      <c r="F244" s="310"/>
      <c r="G244" s="318"/>
      <c r="H244" s="319"/>
    </row>
    <row r="245" spans="1:8" ht="15" customHeight="1" x14ac:dyDescent="0.3">
      <c r="A245" s="133" t="s">
        <v>728</v>
      </c>
      <c r="B245" s="131">
        <f t="shared" si="7"/>
        <v>241</v>
      </c>
      <c r="C245" s="129" t="str">
        <f t="shared" si="6"/>
        <v>Descrizione delle ragioni e delle barriere che oggi impediscono di sfruttare i potenziali di risparmio.</v>
      </c>
      <c r="D245" s="107"/>
      <c r="E245" s="317"/>
      <c r="F245" s="310" t="s">
        <v>326</v>
      </c>
      <c r="G245" s="318" t="s">
        <v>2</v>
      </c>
      <c r="H245" s="319" t="s">
        <v>1083</v>
      </c>
    </row>
    <row r="246" spans="1:8" ht="15" customHeight="1" x14ac:dyDescent="0.3">
      <c r="A246" s="133" t="s">
        <v>727</v>
      </c>
      <c r="B246" s="131">
        <f t="shared" si="7"/>
        <v>242</v>
      </c>
      <c r="C246" s="129" t="str">
        <f t="shared" si="6"/>
        <v>Spiegazione della rilevanza delle diverse barriere (ponderazione).</v>
      </c>
      <c r="D246" s="107"/>
      <c r="E246" s="317"/>
      <c r="F246" s="310" t="s">
        <v>327</v>
      </c>
      <c r="G246" s="318" t="s">
        <v>148</v>
      </c>
      <c r="H246" s="319" t="s">
        <v>1084</v>
      </c>
    </row>
    <row r="247" spans="1:8" ht="15" customHeight="1" x14ac:dyDescent="0.3">
      <c r="A247" s="133"/>
      <c r="B247" s="131">
        <f t="shared" si="7"/>
        <v>243</v>
      </c>
      <c r="C247" s="129">
        <f t="shared" si="6"/>
        <v>0</v>
      </c>
      <c r="D247" s="107"/>
      <c r="E247" s="317"/>
      <c r="F247" s="310"/>
      <c r="G247" s="318"/>
      <c r="H247" s="319"/>
    </row>
    <row r="248" spans="1:8" ht="15" customHeight="1" x14ac:dyDescent="0.3">
      <c r="A248" s="133"/>
      <c r="B248" s="131">
        <f t="shared" si="7"/>
        <v>244</v>
      </c>
      <c r="C248" s="129">
        <f t="shared" si="6"/>
        <v>0</v>
      </c>
      <c r="D248" s="107"/>
      <c r="E248" s="317"/>
      <c r="F248" s="310"/>
      <c r="G248" s="318"/>
      <c r="H248" s="319"/>
    </row>
    <row r="249" spans="1:8" ht="15" customHeight="1" x14ac:dyDescent="0.3">
      <c r="A249" s="130" t="s">
        <v>835</v>
      </c>
      <c r="B249" s="131">
        <f t="shared" si="7"/>
        <v>245</v>
      </c>
      <c r="C249" s="129">
        <f t="shared" si="6"/>
        <v>0</v>
      </c>
      <c r="D249" s="107"/>
      <c r="E249" s="317"/>
      <c r="F249" s="310"/>
      <c r="G249" s="318"/>
      <c r="H249" s="319"/>
    </row>
    <row r="250" spans="1:8" ht="15" customHeight="1" x14ac:dyDescent="0.3">
      <c r="A250" s="133" t="s">
        <v>705</v>
      </c>
      <c r="B250" s="131">
        <f t="shared" si="7"/>
        <v>246</v>
      </c>
      <c r="C250" s="129" t="str">
        <f t="shared" si="6"/>
        <v>Prestazioni contenute nelle misure (parte 1)</v>
      </c>
      <c r="D250" s="107"/>
      <c r="E250" s="317"/>
      <c r="F250" s="310" t="s">
        <v>328</v>
      </c>
      <c r="G250" s="318" t="s">
        <v>833</v>
      </c>
      <c r="H250" s="319" t="s">
        <v>1085</v>
      </c>
    </row>
    <row r="251" spans="1:8" ht="15" customHeight="1" x14ac:dyDescent="0.3">
      <c r="A251" s="133" t="s">
        <v>637</v>
      </c>
      <c r="B251" s="131">
        <f t="shared" si="7"/>
        <v>247</v>
      </c>
      <c r="C251" s="129" t="str">
        <f t="shared" si="6"/>
        <v>Dettaglio</v>
      </c>
      <c r="D251" s="107"/>
      <c r="E251" s="317"/>
      <c r="F251" s="310" t="s">
        <v>329</v>
      </c>
      <c r="G251" s="318" t="s">
        <v>831</v>
      </c>
      <c r="H251" s="319" t="s">
        <v>1086</v>
      </c>
    </row>
    <row r="252" spans="1:8" ht="15" customHeight="1" x14ac:dyDescent="0.3">
      <c r="A252" s="133" t="s">
        <v>706</v>
      </c>
      <c r="B252" s="131">
        <f t="shared" si="7"/>
        <v>248</v>
      </c>
      <c r="C252" s="129" t="str">
        <f t="shared" si="6"/>
        <v>Titolo della misura</v>
      </c>
      <c r="D252" s="107"/>
      <c r="E252" s="317"/>
      <c r="F252" s="310" t="s">
        <v>330</v>
      </c>
      <c r="G252" s="318" t="s">
        <v>793</v>
      </c>
      <c r="H252" s="319" t="s">
        <v>1087</v>
      </c>
    </row>
    <row r="253" spans="1:8" ht="15" customHeight="1" x14ac:dyDescent="0.3">
      <c r="A253" s="133" t="s">
        <v>707</v>
      </c>
      <c r="B253" s="131">
        <f t="shared" si="7"/>
        <v>249</v>
      </c>
      <c r="C253" s="129" t="str">
        <f t="shared" si="6"/>
        <v>Titolo della misura 1 (misura principale)</v>
      </c>
      <c r="D253" s="107"/>
      <c r="E253" s="317"/>
      <c r="F253" s="310" t="s">
        <v>1302</v>
      </c>
      <c r="G253" s="318" t="s">
        <v>1299</v>
      </c>
      <c r="H253" s="319" t="s">
        <v>1305</v>
      </c>
    </row>
    <row r="254" spans="1:8" ht="15" customHeight="1" x14ac:dyDescent="0.3">
      <c r="A254" s="133" t="s">
        <v>708</v>
      </c>
      <c r="B254" s="131">
        <f t="shared" si="7"/>
        <v>250</v>
      </c>
      <c r="C254" s="129" t="str">
        <f t="shared" si="6"/>
        <v>Titolo della misura 2 (misura complementare)</v>
      </c>
      <c r="D254" s="107"/>
      <c r="E254" s="317"/>
      <c r="F254" s="310" t="s">
        <v>1303</v>
      </c>
      <c r="G254" s="318" t="s">
        <v>1300</v>
      </c>
      <c r="H254" s="319" t="s">
        <v>1306</v>
      </c>
    </row>
    <row r="255" spans="1:8" ht="15" customHeight="1" x14ac:dyDescent="0.3">
      <c r="A255" s="133" t="s">
        <v>709</v>
      </c>
      <c r="B255" s="131">
        <f t="shared" si="7"/>
        <v>251</v>
      </c>
      <c r="C255" s="129" t="str">
        <f t="shared" si="6"/>
        <v>Titolo della misura 3 (varie prestazioni)</v>
      </c>
      <c r="D255" s="107"/>
      <c r="E255" s="317"/>
      <c r="F255" s="310" t="s">
        <v>1304</v>
      </c>
      <c r="G255" s="318" t="s">
        <v>1301</v>
      </c>
      <c r="H255" s="319" t="s">
        <v>1307</v>
      </c>
    </row>
    <row r="256" spans="1:8" ht="15" customHeight="1" x14ac:dyDescent="0.3">
      <c r="A256" s="133" t="s">
        <v>858</v>
      </c>
      <c r="B256" s="131">
        <f t="shared" si="7"/>
        <v>252</v>
      </c>
      <c r="C256" s="129" t="str">
        <f t="shared" si="6"/>
        <v>Quali misure sono incluse nel programma e con quale obiettivo?</v>
      </c>
      <c r="D256" s="107"/>
      <c r="E256" s="317"/>
      <c r="F256" s="310" t="s">
        <v>331</v>
      </c>
      <c r="G256" s="318" t="s">
        <v>32</v>
      </c>
      <c r="H256" s="319" t="s">
        <v>1088</v>
      </c>
    </row>
    <row r="257" spans="1:8" ht="15" customHeight="1" x14ac:dyDescent="0.3">
      <c r="A257" s="133" t="s">
        <v>740</v>
      </c>
      <c r="B257" s="131">
        <f t="shared" si="7"/>
        <v>253</v>
      </c>
      <c r="C257" s="129" t="str">
        <f t="shared" si="6"/>
        <v>A chi sono rivolte le prestazioni (descrizione dei gruppi target)?</v>
      </c>
      <c r="D257" s="107"/>
      <c r="E257" s="317"/>
      <c r="F257" s="310" t="s">
        <v>332</v>
      </c>
      <c r="G257" s="318" t="s">
        <v>3</v>
      </c>
      <c r="H257" s="319" t="s">
        <v>1089</v>
      </c>
    </row>
    <row r="258" spans="1:8" ht="15" customHeight="1" x14ac:dyDescent="0.3">
      <c r="A258" s="133" t="s">
        <v>741</v>
      </c>
      <c r="B258" s="131">
        <f t="shared" si="7"/>
        <v>254</v>
      </c>
      <c r="C258" s="129" t="str">
        <f t="shared" si="6"/>
        <v>Chi attua i risparmi di energia elettrica (intermediario della distribuzione)?</v>
      </c>
      <c r="D258" s="107"/>
      <c r="E258" s="317"/>
      <c r="F258" s="310" t="s">
        <v>333</v>
      </c>
      <c r="G258" s="318" t="s">
        <v>795</v>
      </c>
      <c r="H258" s="319" t="s">
        <v>1090</v>
      </c>
    </row>
    <row r="259" spans="1:8" ht="15" customHeight="1" x14ac:dyDescent="0.3">
      <c r="A259" s="133" t="s">
        <v>722</v>
      </c>
      <c r="B259" s="131">
        <f t="shared" si="7"/>
        <v>255</v>
      </c>
      <c r="C259" s="129" t="str">
        <f t="shared" si="6"/>
        <v xml:space="preserve">Quali prestazioni e/o prodotti offre il programma (tipologia, portata e qualità delle prestazioni)? </v>
      </c>
      <c r="D259" s="107"/>
      <c r="E259" s="317"/>
      <c r="F259" s="310" t="s">
        <v>334</v>
      </c>
      <c r="G259" s="318" t="s">
        <v>149</v>
      </c>
      <c r="H259" s="319" t="s">
        <v>1091</v>
      </c>
    </row>
    <row r="260" spans="1:8" ht="15" customHeight="1" x14ac:dyDescent="0.3">
      <c r="A260" s="133" t="s">
        <v>859</v>
      </c>
      <c r="B260" s="131">
        <f t="shared" si="7"/>
        <v>256</v>
      </c>
      <c r="C260" s="129" t="str">
        <f t="shared" si="6"/>
        <v>Descrivere le misure con obiettivi, prestazioni e gruppi target (qualora le misure siano più di tre, riepilogare le misure).</v>
      </c>
      <c r="D260" s="107"/>
      <c r="E260" s="317"/>
      <c r="F260" s="310" t="s">
        <v>516</v>
      </c>
      <c r="G260" s="318" t="s">
        <v>108</v>
      </c>
      <c r="H260" s="319" t="s">
        <v>1092</v>
      </c>
    </row>
    <row r="261" spans="1:8" ht="15" customHeight="1" x14ac:dyDescent="0.3">
      <c r="A261" s="133" t="s">
        <v>730</v>
      </c>
      <c r="B261" s="131">
        <f t="shared" si="7"/>
        <v>257</v>
      </c>
      <c r="C261" s="129" t="str">
        <f t="shared" ref="C261:C324" si="8">IF($B$1="f",F261,IF($B$1="d",G261,H261))</f>
        <v>Misura e obiettivo</v>
      </c>
      <c r="D261" s="107"/>
      <c r="E261" s="317"/>
      <c r="F261" s="310" t="s">
        <v>335</v>
      </c>
      <c r="G261" s="318" t="s">
        <v>31</v>
      </c>
      <c r="H261" s="319" t="s">
        <v>1093</v>
      </c>
    </row>
    <row r="262" spans="1:8" ht="15" customHeight="1" x14ac:dyDescent="0.3">
      <c r="A262" s="133" t="s">
        <v>860</v>
      </c>
      <c r="B262" s="131">
        <f t="shared" ref="B262:B325" si="9">B261+1</f>
        <v>258</v>
      </c>
      <c r="C262" s="129" t="str">
        <f t="shared" si="8"/>
        <v>Gruppo target</v>
      </c>
      <c r="D262" s="107"/>
      <c r="E262" s="317"/>
      <c r="F262" s="310" t="s">
        <v>336</v>
      </c>
      <c r="G262" s="318" t="s">
        <v>790</v>
      </c>
      <c r="H262" s="319" t="s">
        <v>1094</v>
      </c>
    </row>
    <row r="263" spans="1:8" ht="15" customHeight="1" x14ac:dyDescent="0.3">
      <c r="A263" s="133" t="s">
        <v>861</v>
      </c>
      <c r="B263" s="131">
        <f t="shared" si="9"/>
        <v>259</v>
      </c>
      <c r="C263" s="129">
        <f t="shared" si="8"/>
        <v>0</v>
      </c>
      <c r="D263" s="107"/>
      <c r="E263" s="317"/>
      <c r="F263" s="310"/>
      <c r="G263" s="318"/>
      <c r="H263" s="319"/>
    </row>
    <row r="264" spans="1:8" ht="15" customHeight="1" x14ac:dyDescent="0.3">
      <c r="A264" s="133" t="s">
        <v>729</v>
      </c>
      <c r="B264" s="131">
        <f t="shared" si="9"/>
        <v>260</v>
      </c>
      <c r="C264" s="129" t="str">
        <f t="shared" si="8"/>
        <v>Prestazioni (descrizione e quantificazione)</v>
      </c>
      <c r="D264" s="107"/>
      <c r="E264" s="317"/>
      <c r="F264" s="310" t="s">
        <v>337</v>
      </c>
      <c r="G264" s="318" t="s">
        <v>791</v>
      </c>
      <c r="H264" s="319" t="s">
        <v>1095</v>
      </c>
    </row>
    <row r="265" spans="1:8" ht="15" customHeight="1" x14ac:dyDescent="0.3">
      <c r="A265" s="133"/>
      <c r="B265" s="131">
        <f t="shared" si="9"/>
        <v>261</v>
      </c>
      <c r="C265" s="129" t="str">
        <f t="shared" si="8"/>
        <v>Titolo della misura: fissare un breve titolo per la misura
La misura principale comprende le prestazioni con un contributo finanziario per ogni applicazione</v>
      </c>
      <c r="D265" s="107"/>
      <c r="E265" s="317"/>
      <c r="F265" s="310" t="s">
        <v>513</v>
      </c>
      <c r="G265" s="318" t="s">
        <v>461</v>
      </c>
      <c r="H265" s="319" t="s">
        <v>1096</v>
      </c>
    </row>
    <row r="266" spans="1:8" ht="15" customHeight="1" x14ac:dyDescent="0.3">
      <c r="A266" s="133"/>
      <c r="B266" s="131">
        <f t="shared" si="9"/>
        <v>262</v>
      </c>
      <c r="C266" s="129" t="str">
        <f t="shared" si="8"/>
        <v>Titolo della misura: fissare un breve titolo per la misura
La/le misura/e complementare/i comprende/comprendono le prestazioni mirate a smantellare le barriere diverse da quelle finanziarie</v>
      </c>
      <c r="D266" s="107"/>
      <c r="E266" s="317"/>
      <c r="F266" s="310" t="s">
        <v>514</v>
      </c>
      <c r="G266" s="318" t="s">
        <v>462</v>
      </c>
      <c r="H266" s="319" t="s">
        <v>1097</v>
      </c>
    </row>
    <row r="267" spans="1:8" ht="15" customHeight="1" x14ac:dyDescent="0.3">
      <c r="A267" s="133"/>
      <c r="B267" s="131">
        <f t="shared" si="9"/>
        <v>263</v>
      </c>
      <c r="C267" s="129" t="str">
        <f t="shared" si="8"/>
        <v>Costi d’informazione et di formazione</v>
      </c>
      <c r="D267" s="107"/>
      <c r="E267" s="317"/>
      <c r="F267" s="310" t="s">
        <v>1333</v>
      </c>
      <c r="G267" s="318" t="s">
        <v>1332</v>
      </c>
      <c r="H267" s="319" t="s">
        <v>1366</v>
      </c>
    </row>
    <row r="268" spans="1:8" ht="15" customHeight="1" x14ac:dyDescent="0.3">
      <c r="A268" s="133"/>
      <c r="B268" s="131">
        <f t="shared" si="9"/>
        <v>264</v>
      </c>
      <c r="C268" s="129">
        <f t="shared" si="8"/>
        <v>0</v>
      </c>
      <c r="D268" s="107"/>
      <c r="E268" s="317"/>
      <c r="F268" s="310"/>
      <c r="G268" s="318"/>
      <c r="H268" s="319"/>
    </row>
    <row r="269" spans="1:8" ht="15" customHeight="1" x14ac:dyDescent="0.3">
      <c r="A269" s="133"/>
      <c r="B269" s="131">
        <f t="shared" si="9"/>
        <v>265</v>
      </c>
      <c r="C269" s="129">
        <f t="shared" si="8"/>
        <v>0</v>
      </c>
      <c r="D269" s="107"/>
      <c r="E269" s="317"/>
      <c r="F269" s="310"/>
      <c r="G269" s="318"/>
      <c r="H269" s="319"/>
    </row>
    <row r="270" spans="1:8" ht="15" customHeight="1" x14ac:dyDescent="0.3">
      <c r="A270" s="130" t="s">
        <v>836</v>
      </c>
      <c r="B270" s="131">
        <f t="shared" si="9"/>
        <v>266</v>
      </c>
      <c r="C270" s="129">
        <f t="shared" si="8"/>
        <v>0</v>
      </c>
      <c r="D270" s="107"/>
      <c r="E270" s="317"/>
      <c r="F270" s="310"/>
      <c r="G270" s="318"/>
      <c r="H270" s="319"/>
    </row>
    <row r="271" spans="1:8" ht="15" customHeight="1" x14ac:dyDescent="0.3">
      <c r="A271" s="133" t="s">
        <v>730</v>
      </c>
      <c r="B271" s="131">
        <f t="shared" si="9"/>
        <v>267</v>
      </c>
      <c r="C271" s="129" t="str">
        <f t="shared" si="8"/>
        <v>Integrazione alle misure esistenti di Confederazione / cantone</v>
      </c>
      <c r="D271" s="107"/>
      <c r="E271" s="317"/>
      <c r="F271" s="310" t="s">
        <v>338</v>
      </c>
      <c r="G271" s="318" t="s">
        <v>792</v>
      </c>
      <c r="H271" s="319" t="s">
        <v>1098</v>
      </c>
    </row>
    <row r="272" spans="1:8" ht="15" customHeight="1" x14ac:dyDescent="0.3">
      <c r="A272" s="133" t="s">
        <v>862</v>
      </c>
      <c r="B272" s="131">
        <f t="shared" si="9"/>
        <v>268</v>
      </c>
      <c r="C272" s="129" t="str">
        <f t="shared" si="8"/>
        <v>Grado di raggiungimento</v>
      </c>
      <c r="D272" s="107"/>
      <c r="E272" s="317"/>
      <c r="F272" s="310" t="s">
        <v>339</v>
      </c>
      <c r="G272" s="318" t="s">
        <v>832</v>
      </c>
      <c r="H272" s="319" t="s">
        <v>1099</v>
      </c>
    </row>
    <row r="273" spans="1:8" ht="15" customHeight="1" x14ac:dyDescent="0.3">
      <c r="A273" s="133" t="s">
        <v>860</v>
      </c>
      <c r="B273" s="131">
        <f t="shared" si="9"/>
        <v>269</v>
      </c>
      <c r="C273" s="129" t="str">
        <f t="shared" si="8"/>
        <v>Quali barriere sono state smantellate?</v>
      </c>
      <c r="D273" s="107"/>
      <c r="E273" s="317"/>
      <c r="F273" s="310" t="s">
        <v>340</v>
      </c>
      <c r="G273" s="318" t="s">
        <v>136</v>
      </c>
      <c r="H273" s="319" t="s">
        <v>1100</v>
      </c>
    </row>
    <row r="274" spans="1:8" ht="15" customHeight="1" x14ac:dyDescent="0.3">
      <c r="A274" s="133" t="s">
        <v>861</v>
      </c>
      <c r="B274" s="131">
        <f t="shared" si="9"/>
        <v>270</v>
      </c>
      <c r="C274" s="129" t="str">
        <f t="shared" si="8"/>
        <v>Cambiamenti di comportamento</v>
      </c>
      <c r="D274" s="107"/>
      <c r="E274" s="317"/>
      <c r="F274" s="310" t="s">
        <v>341</v>
      </c>
      <c r="G274" s="318" t="s">
        <v>799</v>
      </c>
      <c r="H274" s="319" t="s">
        <v>1101</v>
      </c>
    </row>
    <row r="275" spans="1:8" ht="15" customHeight="1" x14ac:dyDescent="0.3">
      <c r="A275" s="133" t="s">
        <v>729</v>
      </c>
      <c r="B275" s="131">
        <f t="shared" si="9"/>
        <v>271</v>
      </c>
      <c r="C275" s="129" t="str">
        <f t="shared" si="8"/>
        <v>Interazione di diverse misure</v>
      </c>
      <c r="D275" s="107"/>
      <c r="E275" s="317"/>
      <c r="F275" s="310" t="s">
        <v>342</v>
      </c>
      <c r="G275" s="318" t="s">
        <v>794</v>
      </c>
      <c r="H275" s="319" t="s">
        <v>1102</v>
      </c>
    </row>
    <row r="276" spans="1:8" ht="15" customHeight="1" x14ac:dyDescent="0.3">
      <c r="A276" s="133" t="s">
        <v>858</v>
      </c>
      <c r="B276" s="131">
        <f t="shared" si="9"/>
        <v>272</v>
      </c>
      <c r="C276" s="129" t="str">
        <f t="shared" si="8"/>
        <v>Si ha un'integrazione alle misure esistenti di Confederazione e cantone (sì/no)? In caso affermativo, in che modo?</v>
      </c>
      <c r="D276" s="107"/>
      <c r="E276" s="317"/>
      <c r="F276" s="310" t="s">
        <v>515</v>
      </c>
      <c r="G276" s="318" t="s">
        <v>150</v>
      </c>
      <c r="H276" s="319" t="s">
        <v>1103</v>
      </c>
    </row>
    <row r="277" spans="1:8" ht="15" customHeight="1" x14ac:dyDescent="0.3">
      <c r="A277" s="133" t="s">
        <v>739</v>
      </c>
      <c r="B277" s="131">
        <f t="shared" si="9"/>
        <v>273</v>
      </c>
      <c r="C277" s="129" t="str">
        <f t="shared" si="8"/>
        <v xml:space="preserve">Quante persone e/o organizzazioni si intende raggiungere con le prestazioni (grado di raggiungimento dei gruppi target)? </v>
      </c>
      <c r="D277" s="107"/>
      <c r="E277" s="317"/>
      <c r="F277" s="310" t="s">
        <v>343</v>
      </c>
      <c r="G277" s="318" t="s">
        <v>796</v>
      </c>
      <c r="H277" s="319" t="s">
        <v>1104</v>
      </c>
    </row>
    <row r="278" spans="1:8" ht="15" customHeight="1" x14ac:dyDescent="0.3">
      <c r="A278" s="133" t="s">
        <v>740</v>
      </c>
      <c r="B278" s="131">
        <f t="shared" si="9"/>
        <v>274</v>
      </c>
      <c r="C278" s="129" t="str">
        <f t="shared" si="8"/>
        <v>Quali barriere si intende eliminare o ridurre con le prestazioni?</v>
      </c>
      <c r="D278" s="107"/>
      <c r="E278" s="317"/>
      <c r="F278" s="310" t="s">
        <v>344</v>
      </c>
      <c r="G278" s="318" t="s">
        <v>797</v>
      </c>
      <c r="H278" s="319" t="s">
        <v>1105</v>
      </c>
    </row>
    <row r="279" spans="1:8" ht="15" customHeight="1" x14ac:dyDescent="0.3">
      <c r="A279" s="133" t="s">
        <v>741</v>
      </c>
      <c r="B279" s="131">
        <f t="shared" si="9"/>
        <v>275</v>
      </c>
      <c r="C279" s="129" t="str">
        <f t="shared" si="8"/>
        <v>Quali cambiamenti di comportamento si intende realizzare con le prestazioni (comportamento di investimento e/o di utilizzo, comportamento degli utenti o altre)?</v>
      </c>
      <c r="D279" s="107"/>
      <c r="E279" s="317"/>
      <c r="F279" s="310" t="s">
        <v>345</v>
      </c>
      <c r="G279" s="318" t="s">
        <v>4</v>
      </c>
      <c r="H279" s="319" t="s">
        <v>1106</v>
      </c>
    </row>
    <row r="280" spans="1:8" ht="15" customHeight="1" x14ac:dyDescent="0.3">
      <c r="A280" s="133" t="s">
        <v>722</v>
      </c>
      <c r="B280" s="131">
        <f t="shared" si="9"/>
        <v>276</v>
      </c>
      <c r="C280" s="129" t="str">
        <f t="shared" si="8"/>
        <v>Come si integrano vicendevolmente le diverse prestazioni e/o misure?</v>
      </c>
      <c r="D280" s="107"/>
      <c r="E280" s="317"/>
      <c r="F280" s="310" t="s">
        <v>346</v>
      </c>
      <c r="G280" s="318" t="s">
        <v>798</v>
      </c>
      <c r="H280" s="319" t="s">
        <v>1107</v>
      </c>
    </row>
    <row r="281" spans="1:8" ht="15" customHeight="1" x14ac:dyDescent="0.3">
      <c r="A281" s="133" t="s">
        <v>705</v>
      </c>
      <c r="B281" s="131">
        <f t="shared" si="9"/>
        <v>277</v>
      </c>
      <c r="C281" s="129" t="str">
        <f t="shared" si="8"/>
        <v>Prestazioni contenute nelle misure (parte 2)</v>
      </c>
      <c r="D281" s="107"/>
      <c r="E281" s="317"/>
      <c r="F281" s="310" t="s">
        <v>347</v>
      </c>
      <c r="G281" s="318" t="s">
        <v>834</v>
      </c>
      <c r="H281" s="319" t="s">
        <v>1108</v>
      </c>
    </row>
    <row r="282" spans="1:8" ht="15" customHeight="1" x14ac:dyDescent="0.3">
      <c r="A282" s="133"/>
      <c r="B282" s="131">
        <f t="shared" si="9"/>
        <v>278</v>
      </c>
      <c r="C282" s="129">
        <f t="shared" si="8"/>
        <v>0</v>
      </c>
      <c r="D282" s="107"/>
      <c r="E282" s="317"/>
      <c r="F282" s="310"/>
      <c r="G282" s="323"/>
      <c r="H282" s="319"/>
    </row>
    <row r="283" spans="1:8" ht="15" customHeight="1" x14ac:dyDescent="0.3">
      <c r="A283" s="133"/>
      <c r="B283" s="131">
        <f t="shared" si="9"/>
        <v>279</v>
      </c>
      <c r="C283" s="129">
        <f t="shared" si="8"/>
        <v>0</v>
      </c>
      <c r="D283" s="107"/>
      <c r="E283" s="317"/>
      <c r="F283" s="310"/>
      <c r="G283" s="323" t="s">
        <v>1430</v>
      </c>
      <c r="H283" s="319"/>
    </row>
    <row r="284" spans="1:8" ht="15" customHeight="1" x14ac:dyDescent="0.3">
      <c r="A284" s="133"/>
      <c r="B284" s="131">
        <f t="shared" si="9"/>
        <v>280</v>
      </c>
      <c r="C284" s="129">
        <f t="shared" si="8"/>
        <v>0</v>
      </c>
      <c r="D284" s="107"/>
      <c r="E284" s="317"/>
      <c r="F284" s="310"/>
      <c r="G284" s="318"/>
      <c r="H284" s="319"/>
    </row>
    <row r="285" spans="1:8" ht="15" customHeight="1" x14ac:dyDescent="0.3">
      <c r="A285" s="130" t="s">
        <v>863</v>
      </c>
      <c r="B285" s="131">
        <f t="shared" si="9"/>
        <v>281</v>
      </c>
      <c r="C285" s="129">
        <f t="shared" si="8"/>
        <v>0</v>
      </c>
      <c r="D285" s="107"/>
      <c r="E285" s="317"/>
      <c r="F285" s="310"/>
      <c r="G285" s="318"/>
      <c r="H285" s="319"/>
    </row>
    <row r="286" spans="1:8" ht="15" customHeight="1" x14ac:dyDescent="0.3">
      <c r="A286" s="133"/>
      <c r="B286" s="131">
        <f t="shared" si="9"/>
        <v>282</v>
      </c>
      <c r="C286" s="129" t="str">
        <f t="shared" si="8"/>
        <v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v>
      </c>
      <c r="D286" s="107"/>
      <c r="E286" s="317"/>
      <c r="F286" s="310" t="s">
        <v>1548</v>
      </c>
      <c r="G286" s="318" t="s">
        <v>1431</v>
      </c>
      <c r="H286" s="319" t="s">
        <v>1456</v>
      </c>
    </row>
    <row r="287" spans="1:8" ht="15" customHeight="1" x14ac:dyDescent="0.3">
      <c r="A287" s="133"/>
      <c r="B287" s="131">
        <f t="shared" si="9"/>
        <v>283</v>
      </c>
      <c r="C287" s="129" t="str">
        <f t="shared" si="8"/>
        <v>Nota</v>
      </c>
      <c r="D287" s="107"/>
      <c r="E287" s="317"/>
      <c r="F287" s="310" t="s">
        <v>348</v>
      </c>
      <c r="G287" s="318" t="s">
        <v>34</v>
      </c>
      <c r="H287" s="319" t="s">
        <v>1109</v>
      </c>
    </row>
    <row r="288" spans="1:8" ht="15" customHeight="1" x14ac:dyDescent="0.3">
      <c r="A288" s="133"/>
      <c r="B288" s="131">
        <f t="shared" si="9"/>
        <v>284</v>
      </c>
      <c r="C288" s="129" t="str">
        <f t="shared" si="8"/>
        <v>Calcolo della riduzione del consumo di elettricità</v>
      </c>
      <c r="D288" s="107"/>
      <c r="E288" s="317"/>
      <c r="F288" s="310" t="s">
        <v>349</v>
      </c>
      <c r="G288" s="318" t="s">
        <v>33</v>
      </c>
      <c r="H288" s="319" t="s">
        <v>1110</v>
      </c>
    </row>
    <row r="289" spans="1:8" ht="15" customHeight="1" x14ac:dyDescent="0.3">
      <c r="A289" s="120"/>
      <c r="B289" s="131">
        <f t="shared" si="9"/>
        <v>285</v>
      </c>
      <c r="C289" s="129" t="str">
        <f t="shared" si="8"/>
        <v>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v>
      </c>
      <c r="D289" s="107"/>
      <c r="E289" s="317"/>
      <c r="F289" s="310" t="s">
        <v>1831</v>
      </c>
      <c r="G289" s="318" t="s">
        <v>1616</v>
      </c>
      <c r="H289" s="319" t="s">
        <v>1617</v>
      </c>
    </row>
    <row r="290" spans="1:8" ht="15" customHeight="1" x14ac:dyDescent="0.3">
      <c r="A290" s="120"/>
      <c r="B290" s="131">
        <f t="shared" si="9"/>
        <v>286</v>
      </c>
      <c r="C290" s="129" t="str">
        <f t="shared" si="8"/>
        <v>Valutazione dell'efficacia (quantitativa)</v>
      </c>
      <c r="D290" s="107"/>
      <c r="E290" s="317"/>
      <c r="F290" s="310" t="s">
        <v>517</v>
      </c>
      <c r="G290" s="318" t="s">
        <v>450</v>
      </c>
      <c r="H290" s="319" t="s">
        <v>1111</v>
      </c>
    </row>
    <row r="291" spans="1:8" ht="15" customHeight="1" x14ac:dyDescent="0.3">
      <c r="A291" s="120"/>
      <c r="B291" s="131">
        <f t="shared" si="9"/>
        <v>287</v>
      </c>
      <c r="C291" s="129" t="str">
        <f t="shared" si="8"/>
        <v>Indici della valutazione dell'efficacia</v>
      </c>
      <c r="D291" s="107"/>
      <c r="E291" s="317"/>
      <c r="F291" s="310" t="s">
        <v>350</v>
      </c>
      <c r="G291" s="318" t="s">
        <v>451</v>
      </c>
      <c r="H291" s="319" t="s">
        <v>1112</v>
      </c>
    </row>
    <row r="292" spans="1:8" ht="15" customHeight="1" x14ac:dyDescent="0.3">
      <c r="A292" s="133"/>
      <c r="B292" s="131">
        <f t="shared" si="9"/>
        <v>288</v>
      </c>
      <c r="C292" s="129" t="str">
        <f t="shared" si="8"/>
        <v>Ø Evoluzione in kWh</v>
      </c>
      <c r="D292" s="107"/>
      <c r="E292" s="317"/>
      <c r="F292" s="310" t="s">
        <v>351</v>
      </c>
      <c r="G292" s="318" t="s">
        <v>842</v>
      </c>
      <c r="H292" s="319" t="s">
        <v>1113</v>
      </c>
    </row>
    <row r="293" spans="1:8" ht="15" customHeight="1" x14ac:dyDescent="0.3">
      <c r="A293" s="133"/>
      <c r="B293" s="131">
        <f t="shared" si="9"/>
        <v>289</v>
      </c>
      <c r="C293" s="129" t="str">
        <f t="shared" si="8"/>
        <v>Ø Evoluzione in CHF</v>
      </c>
      <c r="D293" s="107"/>
      <c r="E293" s="317"/>
      <c r="F293" s="310" t="s">
        <v>352</v>
      </c>
      <c r="G293" s="318" t="s">
        <v>843</v>
      </c>
      <c r="H293" s="319" t="s">
        <v>1114</v>
      </c>
    </row>
    <row r="294" spans="1:8" ht="15" customHeight="1" x14ac:dyDescent="0.3">
      <c r="A294" s="133"/>
      <c r="B294" s="131">
        <f t="shared" si="9"/>
        <v>290</v>
      </c>
      <c r="C294" s="129" t="str">
        <f t="shared" si="8"/>
        <v>Unità</v>
      </c>
      <c r="D294" s="107"/>
      <c r="E294" s="317"/>
      <c r="F294" s="310" t="s">
        <v>353</v>
      </c>
      <c r="G294" s="318" t="s">
        <v>595</v>
      </c>
      <c r="H294" s="319" t="s">
        <v>1115</v>
      </c>
    </row>
    <row r="295" spans="1:8" ht="15" customHeight="1" x14ac:dyDescent="0.3">
      <c r="A295" s="133"/>
      <c r="B295" s="131">
        <f t="shared" si="9"/>
        <v>291</v>
      </c>
      <c r="C295" s="129" t="str">
        <f t="shared" si="8"/>
        <v>Ø Consumo/anno</v>
      </c>
      <c r="D295" s="107"/>
      <c r="E295" s="317"/>
      <c r="F295" s="310" t="s">
        <v>354</v>
      </c>
      <c r="G295" s="318" t="s">
        <v>37</v>
      </c>
      <c r="H295" s="319" t="s">
        <v>1116</v>
      </c>
    </row>
    <row r="296" spans="1:8" ht="15" customHeight="1" x14ac:dyDescent="0.3">
      <c r="A296" s="133"/>
      <c r="B296" s="131">
        <f t="shared" si="9"/>
        <v>292</v>
      </c>
      <c r="C296" s="129" t="str">
        <f t="shared" si="8"/>
        <v>Ø Risparmio/anno</v>
      </c>
      <c r="D296" s="107"/>
      <c r="E296" s="317"/>
      <c r="F296" s="310" t="s">
        <v>1328</v>
      </c>
      <c r="G296" s="318" t="s">
        <v>531</v>
      </c>
      <c r="H296" s="319" t="s">
        <v>1117</v>
      </c>
    </row>
    <row r="297" spans="1:8" ht="15" customHeight="1" x14ac:dyDescent="0.3">
      <c r="A297" s="133"/>
      <c r="B297" s="131">
        <f t="shared" si="9"/>
        <v>293</v>
      </c>
      <c r="C297" s="129" t="str">
        <f t="shared" si="8"/>
        <v>kWh/anno</v>
      </c>
      <c r="D297" s="107"/>
      <c r="E297" s="317"/>
      <c r="F297" s="310" t="s">
        <v>251</v>
      </c>
      <c r="G297" s="318" t="s">
        <v>5</v>
      </c>
      <c r="H297" s="319" t="s">
        <v>994</v>
      </c>
    </row>
    <row r="298" spans="1:8" ht="15" customHeight="1" x14ac:dyDescent="0.3">
      <c r="A298" s="133"/>
      <c r="B298" s="131">
        <f t="shared" si="9"/>
        <v>294</v>
      </c>
      <c r="C298" s="129" t="str">
        <f t="shared" si="8"/>
        <v>Totale del consumo</v>
      </c>
      <c r="D298" s="107"/>
      <c r="E298" s="317"/>
      <c r="F298" s="310" t="s">
        <v>355</v>
      </c>
      <c r="G298" s="318" t="s">
        <v>841</v>
      </c>
      <c r="H298" s="319" t="s">
        <v>1118</v>
      </c>
    </row>
    <row r="299" spans="1:8" ht="15" customHeight="1" x14ac:dyDescent="0.3">
      <c r="A299" s="133"/>
      <c r="B299" s="131">
        <f t="shared" si="9"/>
        <v>295</v>
      </c>
      <c r="C299" s="129" t="str">
        <f t="shared" si="8"/>
        <v>Ø Durata di utilizzo</v>
      </c>
      <c r="D299" s="107"/>
      <c r="E299" s="317"/>
      <c r="F299" s="310" t="s">
        <v>244</v>
      </c>
      <c r="G299" s="318" t="s">
        <v>837</v>
      </c>
      <c r="H299" s="319" t="s">
        <v>984</v>
      </c>
    </row>
    <row r="300" spans="1:8" ht="15" customHeight="1" x14ac:dyDescent="0.3">
      <c r="A300" s="133"/>
      <c r="B300" s="131">
        <f t="shared" si="9"/>
        <v>296</v>
      </c>
      <c r="C300" s="129" t="str">
        <f t="shared" si="8"/>
        <v>Numero di unità</v>
      </c>
      <c r="D300" s="107"/>
      <c r="E300" s="317"/>
      <c r="F300" s="310" t="s">
        <v>356</v>
      </c>
      <c r="G300" s="318" t="s">
        <v>840</v>
      </c>
      <c r="H300" s="319" t="s">
        <v>1119</v>
      </c>
    </row>
    <row r="301" spans="1:8" ht="15" customHeight="1" x14ac:dyDescent="0.3">
      <c r="A301" s="133"/>
      <c r="B301" s="131">
        <f t="shared" si="9"/>
        <v>297</v>
      </c>
      <c r="C301" s="129" t="str">
        <f t="shared" si="8"/>
        <v>Ø Consumo per anno</v>
      </c>
      <c r="D301" s="107"/>
      <c r="E301" s="317"/>
      <c r="F301" s="310" t="s">
        <v>357</v>
      </c>
      <c r="G301" s="318" t="s">
        <v>35</v>
      </c>
      <c r="H301" s="319" t="s">
        <v>1120</v>
      </c>
    </row>
    <row r="302" spans="1:8" ht="15" customHeight="1" x14ac:dyDescent="0.3">
      <c r="A302" s="133"/>
      <c r="B302" s="131">
        <f t="shared" si="9"/>
        <v>298</v>
      </c>
      <c r="C302" s="129" t="str">
        <f t="shared" si="8"/>
        <v>Ø Rendimento</v>
      </c>
      <c r="D302" s="107"/>
      <c r="E302" s="317"/>
      <c r="F302" s="310" t="s">
        <v>358</v>
      </c>
      <c r="G302" s="318" t="s">
        <v>839</v>
      </c>
      <c r="H302" s="319" t="s">
        <v>1121</v>
      </c>
    </row>
    <row r="303" spans="1:8" ht="15" customHeight="1" x14ac:dyDescent="0.3">
      <c r="A303" s="133"/>
      <c r="B303" s="131">
        <f t="shared" si="9"/>
        <v>299</v>
      </c>
      <c r="C303" s="129" t="str">
        <f t="shared" si="8"/>
        <v>Totale del potenziale di risparmio</v>
      </c>
      <c r="D303" s="107"/>
      <c r="E303" s="317"/>
      <c r="F303" s="310" t="s">
        <v>359</v>
      </c>
      <c r="G303" s="318" t="s">
        <v>844</v>
      </c>
      <c r="H303" s="319" t="s">
        <v>1122</v>
      </c>
    </row>
    <row r="304" spans="1:8" ht="15" customHeight="1" x14ac:dyDescent="0.3">
      <c r="A304" s="133"/>
      <c r="B304" s="131">
        <f t="shared" si="9"/>
        <v>300</v>
      </c>
      <c r="C304" s="129" t="str">
        <f t="shared" si="8"/>
        <v>Totale risparmi</v>
      </c>
      <c r="D304" s="107"/>
      <c r="E304" s="317"/>
      <c r="F304" s="310" t="s">
        <v>360</v>
      </c>
      <c r="G304" s="318" t="s">
        <v>845</v>
      </c>
      <c r="H304" s="319" t="s">
        <v>1123</v>
      </c>
    </row>
    <row r="305" spans="1:8" ht="15" customHeight="1" x14ac:dyDescent="0.3">
      <c r="A305" s="133"/>
      <c r="B305" s="131">
        <f t="shared" si="9"/>
        <v>301</v>
      </c>
      <c r="C305" s="129" t="str">
        <f t="shared" si="8"/>
        <v>Anno</v>
      </c>
      <c r="D305" s="107"/>
      <c r="E305" s="317"/>
      <c r="F305" s="310" t="s">
        <v>534</v>
      </c>
      <c r="G305" s="318" t="s">
        <v>533</v>
      </c>
      <c r="H305" s="319" t="s">
        <v>1124</v>
      </c>
    </row>
    <row r="306" spans="1:8" ht="15" customHeight="1" x14ac:dyDescent="0.3">
      <c r="A306" s="133"/>
      <c r="B306" s="131">
        <f t="shared" si="9"/>
        <v>302</v>
      </c>
      <c r="C306" s="129" t="str">
        <f t="shared" si="8"/>
        <v>Anno 1</v>
      </c>
      <c r="D306" s="107"/>
      <c r="E306" s="317"/>
      <c r="F306" s="310" t="s">
        <v>361</v>
      </c>
      <c r="G306" s="318" t="s">
        <v>592</v>
      </c>
      <c r="H306" s="319" t="s">
        <v>1125</v>
      </c>
    </row>
    <row r="307" spans="1:8" ht="15" customHeight="1" x14ac:dyDescent="0.3">
      <c r="A307" s="133"/>
      <c r="B307" s="131">
        <f t="shared" si="9"/>
        <v>303</v>
      </c>
      <c r="C307" s="129" t="str">
        <f t="shared" si="8"/>
        <v>Anno 2</v>
      </c>
      <c r="D307" s="107"/>
      <c r="E307" s="317"/>
      <c r="F307" s="310" t="s">
        <v>362</v>
      </c>
      <c r="G307" s="318" t="s">
        <v>593</v>
      </c>
      <c r="H307" s="319" t="s">
        <v>1126</v>
      </c>
    </row>
    <row r="308" spans="1:8" ht="15" customHeight="1" x14ac:dyDescent="0.3">
      <c r="A308" s="133"/>
      <c r="B308" s="131">
        <f t="shared" si="9"/>
        <v>304</v>
      </c>
      <c r="C308" s="129" t="str">
        <f t="shared" si="8"/>
        <v>Anno 3</v>
      </c>
      <c r="D308" s="107"/>
      <c r="E308" s="317"/>
      <c r="F308" s="310" t="s">
        <v>363</v>
      </c>
      <c r="G308" s="318" t="s">
        <v>594</v>
      </c>
      <c r="H308" s="319" t="s">
        <v>1127</v>
      </c>
    </row>
    <row r="309" spans="1:8" ht="15" customHeight="1" x14ac:dyDescent="0.3">
      <c r="A309" s="133"/>
      <c r="B309" s="131">
        <f t="shared" si="9"/>
        <v>305</v>
      </c>
      <c r="C309" s="129" t="str">
        <f t="shared" si="8"/>
        <v>Contributi variabili anno 1</v>
      </c>
      <c r="D309" s="107"/>
      <c r="E309" s="317"/>
      <c r="F309" s="310" t="s">
        <v>364</v>
      </c>
      <c r="G309" s="318" t="s">
        <v>39</v>
      </c>
      <c r="H309" s="319" t="s">
        <v>1128</v>
      </c>
    </row>
    <row r="310" spans="1:8" ht="15" customHeight="1" x14ac:dyDescent="0.3">
      <c r="A310" s="133"/>
      <c r="B310" s="131">
        <f t="shared" si="9"/>
        <v>306</v>
      </c>
      <c r="C310" s="129" t="str">
        <f t="shared" si="8"/>
        <v>Contributi variabili anno 2</v>
      </c>
      <c r="D310" s="107"/>
      <c r="E310" s="317"/>
      <c r="F310" s="310" t="s">
        <v>365</v>
      </c>
      <c r="G310" s="318" t="s">
        <v>40</v>
      </c>
      <c r="H310" s="319" t="s">
        <v>1129</v>
      </c>
    </row>
    <row r="311" spans="1:8" ht="15" customHeight="1" x14ac:dyDescent="0.3">
      <c r="A311" s="133"/>
      <c r="B311" s="131">
        <f t="shared" si="9"/>
        <v>307</v>
      </c>
      <c r="C311" s="129" t="str">
        <f t="shared" si="8"/>
        <v>Contributi variabili anno 3</v>
      </c>
      <c r="D311" s="107"/>
      <c r="E311" s="317"/>
      <c r="F311" s="310" t="s">
        <v>366</v>
      </c>
      <c r="G311" s="318" t="s">
        <v>41</v>
      </c>
      <c r="H311" s="319" t="s">
        <v>1130</v>
      </c>
    </row>
    <row r="312" spans="1:8" ht="15" customHeight="1" x14ac:dyDescent="0.3">
      <c r="A312" s="133"/>
      <c r="B312" s="131">
        <f t="shared" si="9"/>
        <v>308</v>
      </c>
      <c r="C312" s="129" t="str">
        <f t="shared" si="8"/>
        <v>Totale dei contributi variabili al programma</v>
      </c>
      <c r="D312" s="107"/>
      <c r="E312" s="317"/>
      <c r="F312" s="310" t="s">
        <v>367</v>
      </c>
      <c r="G312" s="318" t="s">
        <v>42</v>
      </c>
      <c r="H312" s="319" t="s">
        <v>1131</v>
      </c>
    </row>
    <row r="313" spans="1:8" ht="15" customHeight="1" x14ac:dyDescent="0.3">
      <c r="A313" s="133"/>
      <c r="B313" s="131">
        <f t="shared" si="9"/>
        <v>309</v>
      </c>
      <c r="C313" s="129" t="str">
        <f t="shared" si="8"/>
        <v>Contributi variabili al programma / applicazione</v>
      </c>
      <c r="D313" s="107"/>
      <c r="E313" s="317"/>
      <c r="F313" s="310" t="s">
        <v>368</v>
      </c>
      <c r="G313" s="318" t="s">
        <v>43</v>
      </c>
      <c r="H313" s="319" t="s">
        <v>1132</v>
      </c>
    </row>
    <row r="314" spans="1:8" ht="15" customHeight="1" x14ac:dyDescent="0.3">
      <c r="A314" s="133"/>
      <c r="B314" s="131">
        <f t="shared" si="9"/>
        <v>310</v>
      </c>
      <c r="C314" s="129" t="str">
        <f t="shared" si="8"/>
        <v>Contributo finanziario / applicazione</v>
      </c>
      <c r="D314" s="107"/>
      <c r="E314" s="317"/>
      <c r="F314" s="310" t="s">
        <v>369</v>
      </c>
      <c r="G314" s="318" t="s">
        <v>44</v>
      </c>
      <c r="H314" s="319" t="s">
        <v>1133</v>
      </c>
    </row>
    <row r="315" spans="1:8" ht="15" customHeight="1" x14ac:dyDescent="0.3">
      <c r="A315" s="133"/>
      <c r="B315" s="131">
        <f t="shared" si="9"/>
        <v>311</v>
      </c>
      <c r="C315" s="129" t="str">
        <f t="shared" si="8"/>
        <v>pezzo</v>
      </c>
      <c r="D315" s="107"/>
      <c r="E315" s="317"/>
      <c r="F315" s="310" t="s">
        <v>370</v>
      </c>
      <c r="G315" s="318" t="s">
        <v>838</v>
      </c>
      <c r="H315" s="319" t="s">
        <v>1134</v>
      </c>
    </row>
    <row r="316" spans="1:8" ht="15" customHeight="1" x14ac:dyDescent="0.3">
      <c r="A316" s="133"/>
      <c r="B316" s="131">
        <f t="shared" si="9"/>
        <v>312</v>
      </c>
      <c r="C316" s="129" t="str">
        <f t="shared" si="8"/>
        <v>Qui si effettua la spiegazione quantitativa dell'evoluzione di riferimento, del potenziale di risparmio e dei contributi delle gare pubbliche.</v>
      </c>
      <c r="D316" s="107"/>
      <c r="E316" s="317"/>
      <c r="F316" s="310" t="s">
        <v>372</v>
      </c>
      <c r="G316" s="318" t="s">
        <v>137</v>
      </c>
      <c r="H316" s="319" t="s">
        <v>1135</v>
      </c>
    </row>
    <row r="317" spans="1:8" ht="15" customHeight="1" x14ac:dyDescent="0.3">
      <c r="A317" s="133"/>
      <c r="B317" s="131">
        <f t="shared" si="9"/>
        <v>313</v>
      </c>
      <c r="C317" s="129" t="str">
        <f t="shared" si="8"/>
        <v>Indicazione della tariffa media dell'elettricità utilizzata per il calcolo dei costi dell'energia.</v>
      </c>
      <c r="D317" s="107"/>
      <c r="E317" s="317"/>
      <c r="F317" s="310" t="s">
        <v>373</v>
      </c>
      <c r="G317" s="318" t="s">
        <v>846</v>
      </c>
      <c r="H317" s="319" t="s">
        <v>1136</v>
      </c>
    </row>
    <row r="318" spans="1:8" ht="15" customHeight="1" x14ac:dyDescent="0.3">
      <c r="A318" s="133"/>
      <c r="B318" s="131">
        <f t="shared" si="9"/>
        <v>314</v>
      </c>
      <c r="C318" s="129" t="str">
        <f t="shared" si="8"/>
        <v>Registrazione della durata di utilizzo media dell'applicazione interessata</v>
      </c>
      <c r="D318" s="107"/>
      <c r="E318" s="317"/>
      <c r="F318" s="310" t="s">
        <v>374</v>
      </c>
      <c r="G318" s="318" t="s">
        <v>36</v>
      </c>
      <c r="H318" s="319" t="s">
        <v>1137</v>
      </c>
    </row>
    <row r="319" spans="1:8" ht="15" customHeight="1" x14ac:dyDescent="0.3">
      <c r="A319" s="133"/>
      <c r="B319" s="131">
        <f t="shared" si="9"/>
        <v>315</v>
      </c>
      <c r="C319" s="129" t="str">
        <f t="shared" si="8"/>
        <v>Indicazione del consumo medio per applicazione e per anno</v>
      </c>
      <c r="D319" s="107"/>
      <c r="E319" s="317"/>
      <c r="F319" s="310" t="s">
        <v>1322</v>
      </c>
      <c r="G319" s="318" t="s">
        <v>1324</v>
      </c>
      <c r="H319" s="319" t="s">
        <v>1323</v>
      </c>
    </row>
    <row r="320" spans="1:8" ht="15" customHeight="1" x14ac:dyDescent="0.3">
      <c r="A320" s="133"/>
      <c r="B320" s="131">
        <f t="shared" si="9"/>
        <v>316</v>
      </c>
      <c r="C320" s="129" t="str">
        <f t="shared" si="8"/>
        <v>Indicazione del numero di applicazioni sulle quali agisce il programma.</v>
      </c>
      <c r="D320" s="107"/>
      <c r="E320" s="317"/>
      <c r="F320" s="310" t="s">
        <v>1325</v>
      </c>
      <c r="G320" s="318" t="s">
        <v>1326</v>
      </c>
      <c r="H320" s="319" t="s">
        <v>1327</v>
      </c>
    </row>
    <row r="321" spans="1:8" ht="15" customHeight="1" x14ac:dyDescent="0.3">
      <c r="A321" s="133"/>
      <c r="B321" s="131">
        <f t="shared" si="9"/>
        <v>317</v>
      </c>
      <c r="C321" s="129" t="str">
        <f t="shared" si="8"/>
        <v>Indicazione dell'evoluzione del consumo senza programma per anno e per l'intera durata di utilizzo dell'applicazione</v>
      </c>
      <c r="D321" s="107"/>
      <c r="E321" s="317"/>
      <c r="F321" s="310" t="s">
        <v>375</v>
      </c>
      <c r="G321" s="318" t="s">
        <v>96</v>
      </c>
      <c r="H321" s="319" t="s">
        <v>1138</v>
      </c>
    </row>
    <row r="322" spans="1:8" ht="15" customHeight="1" x14ac:dyDescent="0.3">
      <c r="A322" s="133"/>
      <c r="B322" s="131">
        <f t="shared" si="9"/>
        <v>318</v>
      </c>
      <c r="C322" s="129" t="str">
        <f t="shared" si="8"/>
        <v xml:space="preserve">Indicazione dell'evoluzione del consumo con programma per anno e per l'intera durata di utilizzo dell'applicazione </v>
      </c>
      <c r="D322" s="107"/>
      <c r="E322" s="317"/>
      <c r="F322" s="310" t="s">
        <v>376</v>
      </c>
      <c r="G322" s="318" t="s">
        <v>97</v>
      </c>
      <c r="H322" s="319" t="s">
        <v>1139</v>
      </c>
    </row>
    <row r="323" spans="1:8" ht="15" customHeight="1" x14ac:dyDescent="0.3">
      <c r="A323" s="133"/>
      <c r="B323" s="131">
        <f t="shared" si="9"/>
        <v>319</v>
      </c>
      <c r="C323" s="129" t="str">
        <f t="shared" si="8"/>
        <v xml:space="preserve">Distribuzione dei risparmi previsti sulla durata del programma </v>
      </c>
      <c r="D323" s="107"/>
      <c r="E323" s="317"/>
      <c r="F323" s="310" t="s">
        <v>897</v>
      </c>
      <c r="G323" s="318" t="s">
        <v>1361</v>
      </c>
      <c r="H323" s="319" t="s">
        <v>1140</v>
      </c>
    </row>
    <row r="324" spans="1:8" ht="15" customHeight="1" x14ac:dyDescent="0.3">
      <c r="A324" s="133"/>
      <c r="B324" s="131">
        <f t="shared" si="9"/>
        <v>320</v>
      </c>
      <c r="C324" s="129" t="str">
        <f t="shared" si="8"/>
        <v>Indicazione del contributo variabile del programma per applicazione (misura principale)</v>
      </c>
      <c r="D324" s="107"/>
      <c r="E324" s="317"/>
      <c r="F324" s="310" t="s">
        <v>463</v>
      </c>
      <c r="G324" s="318" t="s">
        <v>452</v>
      </c>
      <c r="H324" s="319" t="s">
        <v>1141</v>
      </c>
    </row>
    <row r="325" spans="1:8" ht="15" customHeight="1" x14ac:dyDescent="0.3">
      <c r="A325" s="133"/>
      <c r="B325" s="131">
        <f t="shared" si="9"/>
        <v>321</v>
      </c>
      <c r="C325" s="129" t="str">
        <f t="shared" ref="C325:C388" si="10">IF($B$1="f",F325,IF($B$1="d",G325,H325))</f>
        <v>Numero di applicazioni pianificate attuate nel primo anno del programma</v>
      </c>
      <c r="D325" s="107"/>
      <c r="E325" s="317"/>
      <c r="F325" s="310" t="s">
        <v>377</v>
      </c>
      <c r="G325" s="318" t="s">
        <v>138</v>
      </c>
      <c r="H325" s="319" t="s">
        <v>1142</v>
      </c>
    </row>
    <row r="326" spans="1:8" ht="15" customHeight="1" x14ac:dyDescent="0.3">
      <c r="A326" s="133"/>
      <c r="B326" s="131">
        <f t="shared" ref="B326:B389" si="11">B325+1</f>
        <v>322</v>
      </c>
      <c r="C326" s="129" t="str">
        <f t="shared" si="10"/>
        <v xml:space="preserve">Numero di applicazioni pianificate attuate  nel secondo anno del programma </v>
      </c>
      <c r="D326" s="107"/>
      <c r="E326" s="317"/>
      <c r="F326" s="310" t="s">
        <v>378</v>
      </c>
      <c r="G326" s="318" t="s">
        <v>139</v>
      </c>
      <c r="H326" s="319" t="s">
        <v>1143</v>
      </c>
    </row>
    <row r="327" spans="1:8" ht="15" customHeight="1" x14ac:dyDescent="0.3">
      <c r="A327" s="133"/>
      <c r="B327" s="131">
        <f t="shared" si="11"/>
        <v>323</v>
      </c>
      <c r="C327" s="129" t="str">
        <f t="shared" si="10"/>
        <v xml:space="preserve">Numero di applicazioni pianificate attuate  nel terzo anno del programma </v>
      </c>
      <c r="D327" s="107"/>
      <c r="E327" s="317"/>
      <c r="F327" s="310" t="s">
        <v>379</v>
      </c>
      <c r="G327" s="318" t="s">
        <v>140</v>
      </c>
      <c r="H327" s="319" t="s">
        <v>1144</v>
      </c>
    </row>
    <row r="328" spans="1:8" ht="15" customHeight="1" x14ac:dyDescent="0.3">
      <c r="A328" s="133"/>
      <c r="B328" s="131">
        <f t="shared" si="11"/>
        <v>324</v>
      </c>
      <c r="C328" s="129" t="str">
        <f t="shared" si="10"/>
        <v xml:space="preserve">Numero di applicazioni attuate nel primo anno del programma </v>
      </c>
      <c r="D328" s="107"/>
      <c r="E328" s="317"/>
      <c r="F328" s="310" t="s">
        <v>380</v>
      </c>
      <c r="G328" s="318" t="s">
        <v>141</v>
      </c>
      <c r="H328" s="319" t="s">
        <v>1145</v>
      </c>
    </row>
    <row r="329" spans="1:8" ht="15" customHeight="1" x14ac:dyDescent="0.3">
      <c r="A329" s="133"/>
      <c r="B329" s="131">
        <f t="shared" si="11"/>
        <v>325</v>
      </c>
      <c r="C329" s="129" t="str">
        <f t="shared" si="10"/>
        <v xml:space="preserve">Numero di applicazioni attuate nel secondo anno del programma </v>
      </c>
      <c r="D329" s="107"/>
      <c r="E329" s="317"/>
      <c r="F329" s="310" t="s">
        <v>381</v>
      </c>
      <c r="G329" s="318" t="s">
        <v>142</v>
      </c>
      <c r="H329" s="319" t="s">
        <v>1146</v>
      </c>
    </row>
    <row r="330" spans="1:8" ht="15" customHeight="1" x14ac:dyDescent="0.3">
      <c r="A330" s="133"/>
      <c r="B330" s="131">
        <f t="shared" si="11"/>
        <v>326</v>
      </c>
      <c r="C330" s="129" t="str">
        <f t="shared" si="10"/>
        <v xml:space="preserve">Numero di applicazioni attuate nel terzo anno del programma </v>
      </c>
      <c r="D330" s="107"/>
      <c r="E330" s="317"/>
      <c r="F330" s="310" t="s">
        <v>382</v>
      </c>
      <c r="G330" s="318" t="s">
        <v>143</v>
      </c>
      <c r="H330" s="319" t="s">
        <v>1147</v>
      </c>
    </row>
    <row r="331" spans="1:8" ht="15" customHeight="1" x14ac:dyDescent="0.3">
      <c r="A331" s="133"/>
      <c r="B331" s="131">
        <f t="shared" si="11"/>
        <v>327</v>
      </c>
      <c r="C331" s="129" t="str">
        <f t="shared" si="10"/>
        <v>Totale dei contributi variabili del programma sulle applicazioni attuate</v>
      </c>
      <c r="D331" s="107"/>
      <c r="E331" s="317"/>
      <c r="F331" s="310" t="s">
        <v>383</v>
      </c>
      <c r="G331" s="318" t="s">
        <v>98</v>
      </c>
      <c r="H331" s="319" t="s">
        <v>1148</v>
      </c>
    </row>
    <row r="332" spans="1:8" ht="15" customHeight="1" x14ac:dyDescent="0.3">
      <c r="A332" s="133"/>
      <c r="B332" s="131">
        <f t="shared" si="11"/>
        <v>328</v>
      </c>
      <c r="C332" s="129">
        <f t="shared" si="10"/>
        <v>0</v>
      </c>
      <c r="D332" s="107"/>
      <c r="E332" s="317"/>
      <c r="F332" s="310"/>
      <c r="G332" s="318"/>
      <c r="H332" s="319"/>
    </row>
    <row r="333" spans="1:8" ht="15" customHeight="1" x14ac:dyDescent="0.3">
      <c r="A333" s="133"/>
      <c r="B333" s="131">
        <f t="shared" si="11"/>
        <v>329</v>
      </c>
      <c r="C333" s="129">
        <f t="shared" si="10"/>
        <v>0</v>
      </c>
      <c r="D333" s="107"/>
      <c r="E333" s="317"/>
      <c r="F333" s="310"/>
      <c r="G333" s="318"/>
      <c r="H333" s="319"/>
    </row>
    <row r="334" spans="1:8" ht="15" customHeight="1" x14ac:dyDescent="0.3">
      <c r="A334" s="130" t="s">
        <v>781</v>
      </c>
      <c r="B334" s="131">
        <f t="shared" si="11"/>
        <v>330</v>
      </c>
      <c r="C334" s="129">
        <f t="shared" si="10"/>
        <v>0</v>
      </c>
      <c r="D334" s="107"/>
      <c r="E334" s="317"/>
      <c r="F334" s="310"/>
      <c r="G334" s="318"/>
      <c r="H334" s="319"/>
    </row>
    <row r="335" spans="1:8" ht="15" customHeight="1" x14ac:dyDescent="0.3">
      <c r="A335" s="133"/>
      <c r="B335" s="131">
        <f t="shared" si="11"/>
        <v>331</v>
      </c>
      <c r="C335" s="129" t="str">
        <f t="shared" si="10"/>
        <v>Attuazione del programma (riepilogo)</v>
      </c>
      <c r="D335" s="107"/>
      <c r="E335" s="317"/>
      <c r="F335" s="310" t="s">
        <v>384</v>
      </c>
      <c r="G335" s="318" t="s">
        <v>60</v>
      </c>
      <c r="H335" s="319" t="s">
        <v>1149</v>
      </c>
    </row>
    <row r="336" spans="1:8" ht="15" customHeight="1" x14ac:dyDescent="0.3">
      <c r="A336" s="133"/>
      <c r="B336" s="131">
        <f t="shared" si="11"/>
        <v>332</v>
      </c>
      <c r="C336" s="129" t="str">
        <f t="shared" si="10"/>
        <v>Concetto della comunicazione (riepilogo)</v>
      </c>
      <c r="D336" s="107"/>
      <c r="E336" s="317"/>
      <c r="F336" s="310" t="s">
        <v>385</v>
      </c>
      <c r="G336" s="318" t="s">
        <v>61</v>
      </c>
      <c r="H336" s="319" t="s">
        <v>1150</v>
      </c>
    </row>
    <row r="337" spans="1:8" ht="15" customHeight="1" x14ac:dyDescent="0.3">
      <c r="A337" s="133"/>
      <c r="B337" s="131">
        <f t="shared" si="11"/>
        <v>333</v>
      </c>
      <c r="C337" s="129" t="str">
        <f t="shared" si="10"/>
        <v>Monitoraggio</v>
      </c>
      <c r="D337" s="107"/>
      <c r="E337" s="317"/>
      <c r="F337" s="310" t="s">
        <v>386</v>
      </c>
      <c r="G337" s="318" t="s">
        <v>602</v>
      </c>
      <c r="H337" s="319" t="s">
        <v>1151</v>
      </c>
    </row>
    <row r="338" spans="1:8" ht="15" customHeight="1" x14ac:dyDescent="0.3">
      <c r="A338" s="133" t="s">
        <v>637</v>
      </c>
      <c r="B338" s="131">
        <f t="shared" si="11"/>
        <v>334</v>
      </c>
      <c r="C338" s="129" t="str">
        <f t="shared" si="10"/>
        <v>Come è organizzata l'attuazione del programma?</v>
      </c>
      <c r="D338" s="107"/>
      <c r="E338" s="317"/>
      <c r="F338" s="310" t="s">
        <v>387</v>
      </c>
      <c r="G338" s="318" t="s">
        <v>62</v>
      </c>
      <c r="H338" s="319" t="s">
        <v>1152</v>
      </c>
    </row>
    <row r="339" spans="1:8" ht="15" customHeight="1" x14ac:dyDescent="0.3">
      <c r="A339" s="133" t="s">
        <v>706</v>
      </c>
      <c r="B339" s="131">
        <f t="shared" si="11"/>
        <v>335</v>
      </c>
      <c r="C339" s="129" t="str">
        <f t="shared" si="10"/>
        <v>Quali misure sono previste per rendere noto il programma e/o raggiungere il gruppo target?</v>
      </c>
      <c r="D339" s="107"/>
      <c r="E339" s="317"/>
      <c r="F339" s="310" t="s">
        <v>388</v>
      </c>
      <c r="G339" s="318" t="s">
        <v>158</v>
      </c>
      <c r="H339" s="319" t="s">
        <v>1153</v>
      </c>
    </row>
    <row r="340" spans="1:8" ht="15" customHeight="1" x14ac:dyDescent="0.3">
      <c r="A340" s="133" t="s">
        <v>707</v>
      </c>
      <c r="B340" s="131">
        <f t="shared" si="11"/>
        <v>336</v>
      </c>
      <c r="C340" s="129" t="str">
        <f t="shared" si="10"/>
        <v>In che modo vengono registrate le misure realizzate dal cliente finale e come viene calcolato il consumo di elettricità corrispondente?</v>
      </c>
      <c r="D340" s="107"/>
      <c r="E340" s="317"/>
      <c r="F340" s="310" t="s">
        <v>389</v>
      </c>
      <c r="G340" s="318" t="s">
        <v>8</v>
      </c>
      <c r="H340" s="319" t="s">
        <v>1154</v>
      </c>
    </row>
    <row r="341" spans="1:8" ht="15" customHeight="1" x14ac:dyDescent="0.3">
      <c r="A341" s="133" t="s">
        <v>743</v>
      </c>
      <c r="B341" s="131">
        <f t="shared" si="11"/>
        <v>337</v>
      </c>
      <c r="C341" s="129" t="str">
        <f t="shared" si="10"/>
        <v>In che modo l'evoluzione di riferimento viene verificata sulla base dei risparmi ottenuti e, all'occorrenza, come viene adattata?</v>
      </c>
      <c r="D341" s="107"/>
      <c r="E341" s="317"/>
      <c r="F341" s="310" t="s">
        <v>390</v>
      </c>
      <c r="G341" s="318" t="s">
        <v>806</v>
      </c>
      <c r="H341" s="319" t="s">
        <v>1155</v>
      </c>
    </row>
    <row r="342" spans="1:8" ht="15" customHeight="1" x14ac:dyDescent="0.3">
      <c r="A342" s="133" t="s">
        <v>729</v>
      </c>
      <c r="B342" s="131">
        <f t="shared" si="11"/>
        <v>338</v>
      </c>
      <c r="C342" s="129" t="str">
        <f t="shared" si="10"/>
        <v>Allegato con i dettagli relativi all'attuazione del programma con descrizione di strutture, processi, strumenti e mezzi e con un calendario del progetto con timeline.</v>
      </c>
      <c r="D342" s="107"/>
      <c r="E342" s="317"/>
      <c r="F342" s="310" t="s">
        <v>391</v>
      </c>
      <c r="G342" s="318" t="s">
        <v>64</v>
      </c>
      <c r="H342" s="319" t="s">
        <v>1156</v>
      </c>
    </row>
    <row r="343" spans="1:8" ht="15" customHeight="1" x14ac:dyDescent="0.3">
      <c r="A343" s="133" t="s">
        <v>722</v>
      </c>
      <c r="B343" s="131">
        <f t="shared" si="11"/>
        <v>339</v>
      </c>
      <c r="C343" s="129" t="str">
        <f t="shared" si="10"/>
        <v>Breve riepilogo e rimando all'allegato: concetto della comunicazione con tutte le misure di marketing e comunicazione pianificate.</v>
      </c>
      <c r="D343" s="107"/>
      <c r="E343" s="317"/>
      <c r="F343" s="310" t="s">
        <v>464</v>
      </c>
      <c r="G343" s="318" t="s">
        <v>448</v>
      </c>
      <c r="H343" s="319" t="s">
        <v>1157</v>
      </c>
    </row>
    <row r="344" spans="1:8" ht="15" customHeight="1" x14ac:dyDescent="0.3">
      <c r="A344" s="133" t="s">
        <v>723</v>
      </c>
      <c r="B344" s="131">
        <f t="shared" si="11"/>
        <v>340</v>
      </c>
      <c r="C344" s="129" t="str">
        <f t="shared" si="10"/>
        <v>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v>
      </c>
      <c r="D344" s="107"/>
      <c r="E344" s="317"/>
      <c r="F344" s="310" t="s">
        <v>465</v>
      </c>
      <c r="G344" s="318" t="s">
        <v>449</v>
      </c>
      <c r="H344" s="319" t="s">
        <v>1158</v>
      </c>
    </row>
    <row r="345" spans="1:8" ht="15" customHeight="1" x14ac:dyDescent="0.3">
      <c r="A345" s="133"/>
      <c r="B345" s="131">
        <f t="shared" si="11"/>
        <v>341</v>
      </c>
      <c r="C345" s="129" t="str">
        <f t="shared" si="10"/>
        <v>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v>
      </c>
      <c r="D345" s="107"/>
      <c r="E345" s="317"/>
      <c r="F345" s="310" t="s">
        <v>1618</v>
      </c>
      <c r="G345" s="318" t="s">
        <v>1619</v>
      </c>
      <c r="H345" s="319" t="s">
        <v>1620</v>
      </c>
    </row>
    <row r="346" spans="1:8" ht="15" customHeight="1" x14ac:dyDescent="0.3">
      <c r="A346" s="133"/>
      <c r="B346" s="131">
        <f t="shared" si="11"/>
        <v>342</v>
      </c>
      <c r="C346" s="129" t="str">
        <f t="shared" si="10"/>
        <v>Descrizione dell'attuazione del programma e della comunicazione</v>
      </c>
      <c r="D346" s="107"/>
      <c r="E346" s="317"/>
      <c r="F346" s="310" t="s">
        <v>392</v>
      </c>
      <c r="G346" s="318" t="s">
        <v>63</v>
      </c>
      <c r="H346" s="319" t="s">
        <v>1159</v>
      </c>
    </row>
    <row r="347" spans="1:8" ht="15" customHeight="1" x14ac:dyDescent="0.3">
      <c r="A347" s="133"/>
      <c r="B347" s="131">
        <f t="shared" si="11"/>
        <v>343</v>
      </c>
      <c r="C347" s="129">
        <f t="shared" si="10"/>
        <v>0</v>
      </c>
      <c r="D347" s="107"/>
      <c r="E347" s="317"/>
      <c r="F347" s="310"/>
      <c r="G347" s="318"/>
      <c r="H347" s="319"/>
    </row>
    <row r="348" spans="1:8" ht="15" customHeight="1" x14ac:dyDescent="0.3">
      <c r="A348" s="130" t="s">
        <v>45</v>
      </c>
      <c r="B348" s="131">
        <f t="shared" si="11"/>
        <v>344</v>
      </c>
      <c r="C348" s="129" t="str">
        <f t="shared" si="10"/>
        <v>Costi</v>
      </c>
      <c r="D348" s="107"/>
      <c r="E348" s="317"/>
      <c r="F348" s="310" t="s">
        <v>879</v>
      </c>
      <c r="G348" s="318" t="s">
        <v>371</v>
      </c>
      <c r="H348" s="319" t="s">
        <v>1160</v>
      </c>
    </row>
    <row r="349" spans="1:8" ht="15" customHeight="1" x14ac:dyDescent="0.3">
      <c r="A349" s="133"/>
      <c r="B349" s="131">
        <f t="shared" si="11"/>
        <v>345</v>
      </c>
      <c r="C349" s="129" t="str">
        <f t="shared" si="10"/>
        <v>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v>
      </c>
      <c r="D349" s="107"/>
      <c r="E349" s="317"/>
      <c r="F349" s="310" t="s">
        <v>1288</v>
      </c>
      <c r="G349" s="318" t="s">
        <v>1289</v>
      </c>
      <c r="H349" s="319" t="s">
        <v>1161</v>
      </c>
    </row>
    <row r="350" spans="1:8" ht="15" customHeight="1" x14ac:dyDescent="0.3">
      <c r="A350" s="133"/>
      <c r="B350" s="131">
        <f t="shared" si="11"/>
        <v>346</v>
      </c>
      <c r="C350" s="129" t="str">
        <f t="shared" si="10"/>
        <v>Gestione del programma</v>
      </c>
      <c r="D350" s="107"/>
      <c r="E350" s="317"/>
      <c r="F350" s="310" t="s">
        <v>393</v>
      </c>
      <c r="G350" s="318" t="s">
        <v>1340</v>
      </c>
      <c r="H350" s="319" t="s">
        <v>1162</v>
      </c>
    </row>
    <row r="351" spans="1:8" ht="15" customHeight="1" x14ac:dyDescent="0.3">
      <c r="A351" s="133"/>
      <c r="B351" s="131">
        <f t="shared" si="11"/>
        <v>347</v>
      </c>
      <c r="C351" s="129" t="str">
        <f t="shared" si="10"/>
        <v>Comunicazione del programma</v>
      </c>
      <c r="D351" s="107"/>
      <c r="E351" s="317"/>
      <c r="F351" s="310" t="s">
        <v>1313</v>
      </c>
      <c r="G351" s="318" t="s">
        <v>1351</v>
      </c>
      <c r="H351" s="319" t="s">
        <v>1316</v>
      </c>
    </row>
    <row r="352" spans="1:8" ht="15" customHeight="1" x14ac:dyDescent="0.3">
      <c r="A352" s="133"/>
      <c r="B352" s="131">
        <f t="shared" si="11"/>
        <v>348</v>
      </c>
      <c r="C352" s="129" t="str">
        <f t="shared" si="10"/>
        <v>Misure</v>
      </c>
      <c r="D352" s="107"/>
      <c r="E352" s="317"/>
      <c r="F352" s="310" t="s">
        <v>394</v>
      </c>
      <c r="G352" s="318" t="s">
        <v>46</v>
      </c>
      <c r="H352" s="319" t="s">
        <v>1163</v>
      </c>
    </row>
    <row r="353" spans="1:8" ht="15" customHeight="1" x14ac:dyDescent="0.3">
      <c r="A353" s="133"/>
      <c r="B353" s="131">
        <f t="shared" si="11"/>
        <v>349</v>
      </c>
      <c r="C353" s="129" t="str">
        <f t="shared" si="10"/>
        <v>Contributi variabili del programma (8.2)</v>
      </c>
      <c r="D353" s="107"/>
      <c r="E353" s="317"/>
      <c r="F353" s="310" t="s">
        <v>456</v>
      </c>
      <c r="G353" s="318" t="s">
        <v>457</v>
      </c>
      <c r="H353" s="319" t="s">
        <v>1164</v>
      </c>
    </row>
    <row r="354" spans="1:8" ht="15" customHeight="1" x14ac:dyDescent="0.3">
      <c r="A354" s="133"/>
      <c r="B354" s="131">
        <f t="shared" si="11"/>
        <v>350</v>
      </c>
      <c r="C354" s="129" t="str">
        <f t="shared" si="10"/>
        <v>Totale dei costi</v>
      </c>
      <c r="D354" s="107"/>
      <c r="E354" s="317"/>
      <c r="F354" s="310" t="s">
        <v>395</v>
      </c>
      <c r="G354" s="318" t="s">
        <v>847</v>
      </c>
      <c r="H354" s="319" t="s">
        <v>1165</v>
      </c>
    </row>
    <row r="355" spans="1:8" ht="15" customHeight="1" x14ac:dyDescent="0.3">
      <c r="A355" s="133"/>
      <c r="B355" s="131">
        <f t="shared" si="11"/>
        <v>351</v>
      </c>
      <c r="C355" s="129" t="str">
        <f t="shared" si="10"/>
        <v>Costi per la gestione del programma (spesa dell'ente responsabile del programma)</v>
      </c>
      <c r="D355" s="107"/>
      <c r="E355" s="317"/>
      <c r="F355" s="310" t="s">
        <v>1457</v>
      </c>
      <c r="G355" s="318" t="s">
        <v>1408</v>
      </c>
      <c r="H355" s="319" t="s">
        <v>1458</v>
      </c>
    </row>
    <row r="356" spans="1:8" ht="15" customHeight="1" x14ac:dyDescent="0.3">
      <c r="A356" s="133"/>
      <c r="B356" s="131">
        <f t="shared" si="11"/>
        <v>352</v>
      </c>
      <c r="C356" s="129" t="str">
        <f t="shared" si="10"/>
        <v>Costi per misure di marketing e comunicazione secondo il concetto di comunicazione</v>
      </c>
      <c r="D356" s="107"/>
      <c r="E356" s="317"/>
      <c r="F356" s="310" t="s">
        <v>396</v>
      </c>
      <c r="G356" s="318" t="s">
        <v>99</v>
      </c>
      <c r="H356" s="319" t="s">
        <v>1166</v>
      </c>
    </row>
    <row r="357" spans="1:8" ht="15" customHeight="1" x14ac:dyDescent="0.3">
      <c r="A357" s="133"/>
      <c r="B357" s="131">
        <f t="shared" si="11"/>
        <v>353</v>
      </c>
      <c r="C357" s="129" t="str">
        <f t="shared" si="10"/>
        <v>Eventuali altre misure complementari per smantellare le barriere</v>
      </c>
      <c r="D357" s="107"/>
      <c r="E357" s="317"/>
      <c r="F357" s="310" t="s">
        <v>466</v>
      </c>
      <c r="G357" s="318" t="s">
        <v>454</v>
      </c>
      <c r="H357" s="319" t="s">
        <v>1167</v>
      </c>
    </row>
    <row r="358" spans="1:8" ht="15" customHeight="1" x14ac:dyDescent="0.3">
      <c r="A358" s="133"/>
      <c r="B358" s="131">
        <f t="shared" si="11"/>
        <v>354</v>
      </c>
      <c r="C358" s="129" t="str">
        <f t="shared" si="10"/>
        <v>Contributi variabili su applicazioni che vengono attuate nel quadro del programma.</v>
      </c>
      <c r="D358" s="107"/>
      <c r="E358" s="317"/>
      <c r="F358" s="310" t="s">
        <v>397</v>
      </c>
      <c r="G358" s="318" t="s">
        <v>151</v>
      </c>
      <c r="H358" s="319" t="s">
        <v>1168</v>
      </c>
    </row>
    <row r="359" spans="1:8" ht="15" customHeight="1" x14ac:dyDescent="0.3">
      <c r="A359" s="133"/>
      <c r="B359" s="131">
        <f t="shared" si="11"/>
        <v>355</v>
      </c>
      <c r="C359" s="129" t="str">
        <f t="shared" si="10"/>
        <v>Totale dei costi del programma</v>
      </c>
      <c r="D359" s="107"/>
      <c r="E359" s="317"/>
      <c r="F359" s="310" t="s">
        <v>398</v>
      </c>
      <c r="G359" s="318" t="s">
        <v>65</v>
      </c>
      <c r="H359" s="319" t="s">
        <v>1002</v>
      </c>
    </row>
    <row r="360" spans="1:8" ht="15" customHeight="1" x14ac:dyDescent="0.3">
      <c r="A360" s="133"/>
      <c r="B360" s="131">
        <f t="shared" si="11"/>
        <v>356</v>
      </c>
      <c r="C360" s="129" t="str">
        <f t="shared" si="10"/>
        <v>Unità di costo</v>
      </c>
      <c r="D360" s="107"/>
      <c r="E360" s="317"/>
      <c r="F360" s="310" t="s">
        <v>900</v>
      </c>
      <c r="G360" s="318" t="s">
        <v>535</v>
      </c>
      <c r="H360" s="319" t="s">
        <v>1169</v>
      </c>
    </row>
    <row r="361" spans="1:8" ht="15" customHeight="1" x14ac:dyDescent="0.3">
      <c r="A361" s="133"/>
      <c r="B361" s="131">
        <f t="shared" si="11"/>
        <v>357</v>
      </c>
      <c r="C361" s="129" t="str">
        <f t="shared" si="10"/>
        <v>Costi fissi</v>
      </c>
      <c r="D361" s="107"/>
      <c r="E361" s="317"/>
      <c r="F361" s="310" t="s">
        <v>467</v>
      </c>
      <c r="G361" s="318" t="s">
        <v>453</v>
      </c>
      <c r="H361" s="319" t="s">
        <v>1170</v>
      </c>
    </row>
    <row r="362" spans="1:8" ht="15" customHeight="1" x14ac:dyDescent="0.3">
      <c r="A362" s="133"/>
      <c r="B362" s="131">
        <f t="shared" si="11"/>
        <v>358</v>
      </c>
      <c r="C362" s="129" t="str">
        <f t="shared" si="10"/>
        <v>Totale costi fissi</v>
      </c>
      <c r="D362" s="107"/>
      <c r="E362" s="317"/>
      <c r="F362" s="310" t="s">
        <v>1290</v>
      </c>
      <c r="G362" s="318" t="s">
        <v>455</v>
      </c>
      <c r="H362" s="319" t="s">
        <v>1171</v>
      </c>
    </row>
    <row r="363" spans="1:8" ht="15" customHeight="1" x14ac:dyDescent="0.3">
      <c r="A363" s="133"/>
      <c r="B363" s="131">
        <f t="shared" si="11"/>
        <v>359</v>
      </c>
      <c r="C363" s="129" t="str">
        <f t="shared" si="10"/>
        <v>Prestazioni proprie (lavoro) dell'ente responsabile</v>
      </c>
      <c r="D363" s="107"/>
      <c r="E363" s="317"/>
      <c r="F363" s="310" t="s">
        <v>1459</v>
      </c>
      <c r="G363" s="318" t="s">
        <v>1416</v>
      </c>
      <c r="H363" s="319" t="s">
        <v>1460</v>
      </c>
    </row>
    <row r="364" spans="1:8" ht="15" customHeight="1" x14ac:dyDescent="0.3">
      <c r="A364" s="133"/>
      <c r="B364" s="131">
        <f t="shared" si="11"/>
        <v>360</v>
      </c>
      <c r="C364" s="129" t="str">
        <f t="shared" si="10"/>
        <v>Costi di gestione e comunicazione</v>
      </c>
      <c r="D364" s="107"/>
      <c r="E364" s="317"/>
      <c r="F364" s="310" t="s">
        <v>1309</v>
      </c>
      <c r="G364" s="318" t="s">
        <v>1298</v>
      </c>
      <c r="H364" s="319" t="s">
        <v>1315</v>
      </c>
    </row>
    <row r="365" spans="1:8" ht="15" customHeight="1" x14ac:dyDescent="0.3">
      <c r="A365" s="133"/>
      <c r="B365" s="131">
        <f t="shared" si="11"/>
        <v>361</v>
      </c>
      <c r="C365" s="129" t="str">
        <f t="shared" si="10"/>
        <v>CF</v>
      </c>
      <c r="D365" s="107"/>
      <c r="E365" s="317"/>
      <c r="F365" s="310" t="s">
        <v>880</v>
      </c>
      <c r="G365" s="318" t="s">
        <v>538</v>
      </c>
      <c r="H365" s="319" t="s">
        <v>880</v>
      </c>
    </row>
    <row r="366" spans="1:8" ht="15" customHeight="1" x14ac:dyDescent="0.3">
      <c r="A366" s="133"/>
      <c r="B366" s="131">
        <f t="shared" si="11"/>
        <v>362</v>
      </c>
      <c r="C366" s="129" t="str">
        <f t="shared" si="10"/>
        <v>Costi dipendenti dall'attuazione</v>
      </c>
      <c r="D366" s="107"/>
      <c r="E366" s="317"/>
      <c r="F366" s="310" t="s">
        <v>895</v>
      </c>
      <c r="G366" s="318" t="s">
        <v>1297</v>
      </c>
      <c r="H366" s="319" t="s">
        <v>989</v>
      </c>
    </row>
    <row r="367" spans="1:8" ht="15" customHeight="1" x14ac:dyDescent="0.3">
      <c r="A367" s="133"/>
      <c r="B367" s="131">
        <f t="shared" si="11"/>
        <v>363</v>
      </c>
      <c r="C367" s="129" t="str">
        <f t="shared" si="10"/>
        <v>Costi variabili</v>
      </c>
      <c r="D367" s="107"/>
      <c r="E367" s="317"/>
      <c r="F367" s="310" t="s">
        <v>881</v>
      </c>
      <c r="G367" s="318" t="s">
        <v>874</v>
      </c>
      <c r="H367" s="319" t="s">
        <v>1172</v>
      </c>
    </row>
    <row r="368" spans="1:8" ht="15" customHeight="1" x14ac:dyDescent="0.3">
      <c r="A368" s="133"/>
      <c r="B368" s="131">
        <f t="shared" si="11"/>
        <v>364</v>
      </c>
      <c r="C368" s="129" t="str">
        <f t="shared" si="10"/>
        <v>Campo di controllo
Differenza di finanziamento</v>
      </c>
      <c r="D368" s="107"/>
      <c r="E368" s="317"/>
      <c r="F368" s="310" t="s">
        <v>883</v>
      </c>
      <c r="G368" s="318" t="s">
        <v>871</v>
      </c>
      <c r="H368" s="319" t="s">
        <v>1173</v>
      </c>
    </row>
    <row r="369" spans="1:8" ht="15" customHeight="1" x14ac:dyDescent="0.3">
      <c r="A369" s="133"/>
      <c r="B369" s="131">
        <f t="shared" si="11"/>
        <v>365</v>
      </c>
      <c r="C369" s="129" t="str">
        <f t="shared" si="10"/>
        <v>Prestazioni proprie (cash) dell'ente responsabile</v>
      </c>
      <c r="D369" s="107"/>
      <c r="E369" s="317"/>
      <c r="F369" s="310" t="s">
        <v>1461</v>
      </c>
      <c r="G369" s="318" t="s">
        <v>1417</v>
      </c>
      <c r="H369" s="319" t="s">
        <v>1462</v>
      </c>
    </row>
    <row r="370" spans="1:8" ht="15" customHeight="1" x14ac:dyDescent="0.3">
      <c r="A370" s="133"/>
      <c r="B370" s="131">
        <f t="shared" si="11"/>
        <v>366</v>
      </c>
      <c r="C370" s="129" t="str">
        <f t="shared" si="10"/>
        <v>Altri finanziatori (clienti target)</v>
      </c>
      <c r="D370" s="107"/>
      <c r="E370" s="317"/>
      <c r="F370" s="310" t="s">
        <v>1463</v>
      </c>
      <c r="G370" s="318" t="s">
        <v>1393</v>
      </c>
      <c r="H370" s="319" t="s">
        <v>1464</v>
      </c>
    </row>
    <row r="371" spans="1:8" ht="15" customHeight="1" x14ac:dyDescent="0.3">
      <c r="A371" s="133"/>
      <c r="B371" s="131">
        <f t="shared" si="11"/>
        <v>367</v>
      </c>
      <c r="C371" s="129" t="str">
        <f t="shared" si="10"/>
        <v>Altri fondi di sostegno (eccetto federale)</v>
      </c>
      <c r="D371" s="107"/>
      <c r="E371" s="317"/>
      <c r="F371" s="310" t="s">
        <v>1310</v>
      </c>
      <c r="G371" s="318" t="s">
        <v>1352</v>
      </c>
      <c r="H371" s="319" t="s">
        <v>1317</v>
      </c>
    </row>
    <row r="372" spans="1:8" ht="15" customHeight="1" x14ac:dyDescent="0.3">
      <c r="A372" s="133"/>
      <c r="B372" s="131">
        <f t="shared" si="11"/>
        <v>368</v>
      </c>
      <c r="C372" s="129" t="str">
        <f t="shared" si="10"/>
        <v>Contributo di incentivazione Prokilowatt (IVA inclusa)</v>
      </c>
      <c r="D372" s="107"/>
      <c r="E372" s="317"/>
      <c r="F372" s="310" t="s">
        <v>1628</v>
      </c>
      <c r="G372" s="318" t="s">
        <v>1752</v>
      </c>
      <c r="H372" s="319" t="s">
        <v>1753</v>
      </c>
    </row>
    <row r="373" spans="1:8" ht="15" customHeight="1" x14ac:dyDescent="0.3">
      <c r="A373" s="133"/>
      <c r="B373" s="131">
        <f t="shared" si="11"/>
        <v>369</v>
      </c>
      <c r="C373" s="129" t="str">
        <f t="shared" si="10"/>
        <v>Istruzioni sul budget (costi)</v>
      </c>
      <c r="D373" s="107"/>
      <c r="E373" s="317"/>
      <c r="F373" s="310" t="s">
        <v>884</v>
      </c>
      <c r="G373" s="318" t="s">
        <v>541</v>
      </c>
      <c r="H373" s="319" t="s">
        <v>1174</v>
      </c>
    </row>
    <row r="374" spans="1:8" ht="15" customHeight="1" x14ac:dyDescent="0.3">
      <c r="A374" s="133"/>
      <c r="B374" s="131">
        <f t="shared" si="11"/>
        <v>370</v>
      </c>
      <c r="C374" s="129" t="str">
        <f t="shared" si="10"/>
        <v>Osservazioni sul budget (costi)</v>
      </c>
      <c r="D374" s="107"/>
      <c r="E374" s="317"/>
      <c r="F374" s="310" t="s">
        <v>885</v>
      </c>
      <c r="G374" s="318" t="s">
        <v>543</v>
      </c>
      <c r="H374" s="319" t="s">
        <v>1175</v>
      </c>
    </row>
    <row r="375" spans="1:8" ht="15" customHeight="1" x14ac:dyDescent="0.3">
      <c r="A375" s="133"/>
      <c r="B375" s="131">
        <f t="shared" si="11"/>
        <v>371</v>
      </c>
      <c r="C375" s="129" t="str">
        <f t="shared" si="10"/>
        <v>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v>
      </c>
      <c r="D375" s="107"/>
      <c r="E375" s="317"/>
      <c r="F375" s="310" t="s">
        <v>1311</v>
      </c>
      <c r="G375" s="318" t="s">
        <v>1353</v>
      </c>
      <c r="H375" s="319" t="s">
        <v>1318</v>
      </c>
    </row>
    <row r="376" spans="1:8" ht="15" customHeight="1" x14ac:dyDescent="0.3">
      <c r="A376" s="133"/>
      <c r="B376" s="131">
        <f t="shared" si="11"/>
        <v>372</v>
      </c>
      <c r="C376" s="129" t="str">
        <f t="shared" si="10"/>
        <v>Dezember 2011: CHF 55'000.-- an fixe Kosten
Oktober 2012: CHF 40'000.-- (Restbetrag) an fixe Kosten
Variable Kosten in Abhängigkeit der erfolgten Umsetzungen:
Teilrechnung im April 2012
Schlussrechnung voraussichtlich anfangs 2012</v>
      </c>
      <c r="D376" s="107"/>
      <c r="E376" s="317"/>
      <c r="F376" s="135" t="s">
        <v>1275</v>
      </c>
      <c r="G376" s="318" t="s">
        <v>1276</v>
      </c>
      <c r="H376" s="319" t="s">
        <v>1276</v>
      </c>
    </row>
    <row r="377" spans="1:8" ht="15" customHeight="1" x14ac:dyDescent="0.3">
      <c r="A377" s="133"/>
      <c r="B377" s="131">
        <f t="shared" si="11"/>
        <v>373</v>
      </c>
      <c r="C377" s="129" t="str">
        <f t="shared" si="10"/>
        <v>Istruzioni sul finanziamento</v>
      </c>
      <c r="D377" s="107"/>
      <c r="E377" s="317"/>
      <c r="F377" s="136" t="s">
        <v>886</v>
      </c>
      <c r="G377" s="318" t="s">
        <v>542</v>
      </c>
      <c r="H377" s="319" t="s">
        <v>1176</v>
      </c>
    </row>
    <row r="378" spans="1:8" ht="15" customHeight="1" x14ac:dyDescent="0.3">
      <c r="A378" s="133"/>
      <c r="B378" s="131">
        <f t="shared" si="11"/>
        <v>374</v>
      </c>
      <c r="C378" s="129" t="str">
        <f t="shared" si="10"/>
        <v>Osservazioni sul finanziamento</v>
      </c>
      <c r="D378" s="107"/>
      <c r="E378" s="317"/>
      <c r="F378" s="136" t="s">
        <v>887</v>
      </c>
      <c r="G378" s="318" t="s">
        <v>544</v>
      </c>
      <c r="H378" s="319" t="s">
        <v>1177</v>
      </c>
    </row>
    <row r="379" spans="1:8" ht="15" customHeight="1" x14ac:dyDescent="0.3">
      <c r="A379" s="133"/>
      <c r="B379" s="131">
        <f t="shared" si="11"/>
        <v>375</v>
      </c>
      <c r="C379" s="129" t="str">
        <f t="shared" si="10"/>
        <v>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v>
      </c>
      <c r="D379" s="107"/>
      <c r="E379" s="317"/>
      <c r="F379" s="135" t="s">
        <v>1312</v>
      </c>
      <c r="G379" s="318" t="s">
        <v>1354</v>
      </c>
      <c r="H379" s="319" t="s">
        <v>1319</v>
      </c>
    </row>
    <row r="380" spans="1:8" ht="15" customHeight="1" x14ac:dyDescent="0.3">
      <c r="A380" s="133"/>
      <c r="B380" s="131">
        <f t="shared" si="11"/>
        <v>376</v>
      </c>
      <c r="C380" s="129" t="str">
        <f t="shared" si="10"/>
        <v>Dezember 2011: CHF 55'000.-- an fixe Kosten
Oktober 2012: CHF 40'000.-- (Restbetrag) an fixe Kosten
Variable Kosten in Abhängigkeit der erfolgten Umsetzungen:
Teilrechnung im April 2012
Schlussrechnung voraussichtlich anfangs 2012</v>
      </c>
      <c r="D380" s="107"/>
      <c r="E380" s="317"/>
      <c r="F380" s="135" t="s">
        <v>1275</v>
      </c>
      <c r="G380" s="318" t="s">
        <v>1276</v>
      </c>
      <c r="H380" s="319" t="s">
        <v>1276</v>
      </c>
    </row>
    <row r="381" spans="1:8" ht="15" customHeight="1" x14ac:dyDescent="0.3">
      <c r="A381" s="133"/>
      <c r="B381" s="131">
        <f t="shared" si="11"/>
        <v>377</v>
      </c>
      <c r="C381" s="129" t="str">
        <f t="shared" si="10"/>
        <v>Costi per l'attuazione della misura principale 
(Obbligo di descriverli nel concetto del programma al capitolo 2 Misure)</v>
      </c>
      <c r="D381" s="107"/>
      <c r="E381" s="317"/>
      <c r="F381" s="135" t="s">
        <v>1897</v>
      </c>
      <c r="G381" s="318" t="s">
        <v>1898</v>
      </c>
      <c r="H381" s="319" t="s">
        <v>1899</v>
      </c>
    </row>
    <row r="382" spans="1:8" ht="15" customHeight="1" x14ac:dyDescent="0.3">
      <c r="A382" s="133"/>
      <c r="B382" s="131">
        <f t="shared" si="11"/>
        <v>378</v>
      </c>
      <c r="C382" s="129" t="str">
        <f t="shared" si="10"/>
        <v>Costi per l'attuazione delle misure complementari 1-8 (Obbligo di descriverli nel concetto del programma al capitolo 2.1.3 Misure). In caso di ottimizzazione del funzionamento le misure devono essere indicate per impianto.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v>
      </c>
      <c r="D382" s="107"/>
      <c r="E382" s="317"/>
      <c r="F382" s="135" t="s">
        <v>1858</v>
      </c>
      <c r="G382" s="318" t="s">
        <v>1857</v>
      </c>
      <c r="H382" s="319" t="s">
        <v>1856</v>
      </c>
    </row>
    <row r="383" spans="1:8" ht="15" customHeight="1" x14ac:dyDescent="0.3">
      <c r="A383" s="133"/>
      <c r="B383" s="131">
        <f t="shared" si="11"/>
        <v>379</v>
      </c>
      <c r="C383" s="129" t="str">
        <f t="shared" si="10"/>
        <v>Costi per diverse misure
(Obbligo di descriverli nel concetto del programma al capitolo 2.1.3 Misure)</v>
      </c>
      <c r="D383" s="107"/>
      <c r="E383" s="317"/>
      <c r="F383" s="135" t="s">
        <v>1367</v>
      </c>
      <c r="G383" s="318" t="s">
        <v>1368</v>
      </c>
      <c r="H383" s="319" t="s">
        <v>1369</v>
      </c>
    </row>
    <row r="384" spans="1:8" ht="15" customHeight="1" x14ac:dyDescent="0.3">
      <c r="A384" s="133"/>
      <c r="B384" s="131">
        <f t="shared" si="11"/>
        <v>380</v>
      </c>
      <c r="C384" s="129" t="str">
        <f t="shared" si="10"/>
        <v>Budget (quantificazione)</v>
      </c>
      <c r="D384" s="107"/>
      <c r="E384" s="317"/>
      <c r="F384" s="136" t="s">
        <v>888</v>
      </c>
      <c r="G384" s="318" t="s">
        <v>539</v>
      </c>
      <c r="H384" s="319" t="s">
        <v>1178</v>
      </c>
    </row>
    <row r="385" spans="1:8" ht="15" customHeight="1" x14ac:dyDescent="0.3">
      <c r="A385" s="133"/>
      <c r="B385" s="131">
        <f t="shared" si="11"/>
        <v>381</v>
      </c>
      <c r="C385" s="129" t="str">
        <f t="shared" si="10"/>
        <v>Finanziamento (quantificazione)</v>
      </c>
      <c r="D385" s="107"/>
      <c r="E385" s="317"/>
      <c r="F385" s="136" t="s">
        <v>889</v>
      </c>
      <c r="G385" s="318" t="s">
        <v>540</v>
      </c>
      <c r="H385" s="319" t="s">
        <v>1179</v>
      </c>
    </row>
    <row r="386" spans="1:8" ht="15" customHeight="1" x14ac:dyDescent="0.3">
      <c r="A386" s="133"/>
      <c r="B386" s="131">
        <f t="shared" si="11"/>
        <v>382</v>
      </c>
      <c r="C386" s="129" t="str">
        <f t="shared" si="10"/>
        <v>Indicazione della provenienza degli altri contributi (pubblica amministrazione e/o organizzazioni private)</v>
      </c>
      <c r="D386" s="107"/>
      <c r="E386" s="317"/>
      <c r="F386" s="310" t="s">
        <v>504</v>
      </c>
      <c r="G386" s="318" t="s">
        <v>503</v>
      </c>
      <c r="H386" s="319" t="s">
        <v>1180</v>
      </c>
    </row>
    <row r="387" spans="1:8" ht="15" customHeight="1" x14ac:dyDescent="0.3">
      <c r="A387" s="133"/>
      <c r="B387" s="131">
        <f t="shared" si="11"/>
        <v>383</v>
      </c>
      <c r="C387" s="129" t="str">
        <f t="shared" si="10"/>
        <v>In caso affermativo, provengono da organizzazioni private?</v>
      </c>
      <c r="D387" s="107"/>
      <c r="E387" s="317"/>
      <c r="F387" s="310" t="s">
        <v>519</v>
      </c>
      <c r="G387" s="318" t="s">
        <v>473</v>
      </c>
      <c r="H387" s="319" t="s">
        <v>1181</v>
      </c>
    </row>
    <row r="388" spans="1:8" ht="15" customHeight="1" x14ac:dyDescent="0.3">
      <c r="A388" s="133"/>
      <c r="B388" s="131">
        <f t="shared" si="11"/>
        <v>384</v>
      </c>
      <c r="C388" s="129" t="str">
        <f t="shared" si="10"/>
        <v>In caso affermativo, provengono dalla pubblica amministrazione?</v>
      </c>
      <c r="D388" s="107"/>
      <c r="E388" s="317"/>
      <c r="F388" s="310" t="s">
        <v>520</v>
      </c>
      <c r="G388" s="318" t="s">
        <v>472</v>
      </c>
      <c r="H388" s="319" t="s">
        <v>1182</v>
      </c>
    </row>
    <row r="389" spans="1:8" ht="15" customHeight="1" x14ac:dyDescent="0.3">
      <c r="A389" s="130" t="s">
        <v>865</v>
      </c>
      <c r="B389" s="131">
        <f t="shared" si="11"/>
        <v>385</v>
      </c>
      <c r="C389" s="129" t="str">
        <f t="shared" ref="C389:C452" si="12">IF($B$1="f",F389,IF($B$1="d",G389,H389))</f>
        <v>Domande relative al finanziamento</v>
      </c>
      <c r="D389" s="107"/>
      <c r="E389" s="317"/>
      <c r="F389" s="310" t="s">
        <v>468</v>
      </c>
      <c r="G389" s="318" t="s">
        <v>460</v>
      </c>
      <c r="H389" s="319" t="s">
        <v>1183</v>
      </c>
    </row>
    <row r="390" spans="1:8" ht="15" customHeight="1" x14ac:dyDescent="0.3">
      <c r="A390" s="133" t="s">
        <v>705</v>
      </c>
      <c r="B390" s="131">
        <f t="shared" ref="B390:B453" si="13">B389+1</f>
        <v>386</v>
      </c>
      <c r="C390" s="129" t="str">
        <f t="shared" si="12"/>
        <v>Finanziamento</v>
      </c>
      <c r="D390" s="107"/>
      <c r="E390" s="317"/>
      <c r="F390" s="310" t="s">
        <v>180</v>
      </c>
      <c r="G390" s="318" t="s">
        <v>603</v>
      </c>
      <c r="H390" s="319" t="s">
        <v>1184</v>
      </c>
    </row>
    <row r="391" spans="1:8" ht="15" customHeight="1" x14ac:dyDescent="0.3">
      <c r="A391" s="133" t="s">
        <v>637</v>
      </c>
      <c r="B391" s="131">
        <f t="shared" si="13"/>
        <v>387</v>
      </c>
      <c r="C391" s="129" t="str">
        <f t="shared" si="12"/>
        <v>Come viene finanziato il programma?</v>
      </c>
      <c r="D391" s="107"/>
      <c r="E391" s="317"/>
      <c r="F391" s="310" t="s">
        <v>474</v>
      </c>
      <c r="G391" s="318" t="s">
        <v>771</v>
      </c>
      <c r="H391" s="319" t="s">
        <v>1185</v>
      </c>
    </row>
    <row r="392" spans="1:8" ht="15" customHeight="1" x14ac:dyDescent="0.3">
      <c r="A392" s="133" t="s">
        <v>706</v>
      </c>
      <c r="B392" s="131">
        <f t="shared" si="13"/>
        <v>388</v>
      </c>
      <c r="C392" s="129" t="str">
        <f t="shared" si="12"/>
        <v>Quale parte deve essere coperta dalle gare pubbliche?</v>
      </c>
      <c r="D392" s="107"/>
      <c r="E392" s="317"/>
      <c r="F392" s="310" t="s">
        <v>475</v>
      </c>
      <c r="G392" s="318" t="s">
        <v>6</v>
      </c>
      <c r="H392" s="319" t="s">
        <v>1186</v>
      </c>
    </row>
    <row r="393" spans="1:8" ht="15" customHeight="1" x14ac:dyDescent="0.3">
      <c r="A393" s="133" t="s">
        <v>707</v>
      </c>
      <c r="B393" s="131">
        <f t="shared" si="13"/>
        <v>389</v>
      </c>
      <c r="C393" s="129" t="str">
        <f t="shared" si="12"/>
        <v>Delle quote dei costi vengono finanziate da altre organizzazioni?</v>
      </c>
      <c r="D393" s="107"/>
      <c r="E393" s="317"/>
      <c r="F393" s="310" t="s">
        <v>476</v>
      </c>
      <c r="G393" s="318" t="s">
        <v>773</v>
      </c>
      <c r="H393" s="319" t="s">
        <v>1187</v>
      </c>
    </row>
    <row r="394" spans="1:8" ht="15" customHeight="1" x14ac:dyDescent="0.3">
      <c r="A394" s="133" t="s">
        <v>708</v>
      </c>
      <c r="B394" s="131">
        <f t="shared" si="13"/>
        <v>390</v>
      </c>
      <c r="C394" s="129" t="str">
        <f t="shared" si="12"/>
        <v>Quali sono le quote coperte da altre organizzazioni?</v>
      </c>
      <c r="D394" s="107"/>
      <c r="E394" s="317"/>
      <c r="F394" s="310" t="s">
        <v>499</v>
      </c>
      <c r="G394" s="318" t="s">
        <v>498</v>
      </c>
      <c r="H394" s="319" t="s">
        <v>1188</v>
      </c>
    </row>
    <row r="395" spans="1:8" ht="15" customHeight="1" x14ac:dyDescent="0.3">
      <c r="A395" s="133" t="s">
        <v>709</v>
      </c>
      <c r="B395" s="131">
        <f t="shared" si="13"/>
        <v>391</v>
      </c>
      <c r="C395" s="129" t="str">
        <f t="shared" si="12"/>
        <v>Il finanziamento di questi altri contributi è garantito?</v>
      </c>
      <c r="D395" s="107"/>
      <c r="E395" s="317"/>
      <c r="F395" s="310" t="s">
        <v>477</v>
      </c>
      <c r="G395" s="318" t="s">
        <v>774</v>
      </c>
      <c r="H395" s="319" t="s">
        <v>1189</v>
      </c>
    </row>
    <row r="396" spans="1:8" ht="15" customHeight="1" x14ac:dyDescent="0.3">
      <c r="A396" s="133" t="s">
        <v>711</v>
      </c>
      <c r="B396" s="131">
        <f t="shared" si="13"/>
        <v>392</v>
      </c>
      <c r="C396" s="129" t="str">
        <f t="shared" si="12"/>
        <v>In caso affermativo, come?
In caso negativo, come?</v>
      </c>
      <c r="D396" s="107"/>
      <c r="E396" s="317"/>
      <c r="F396" s="310" t="s">
        <v>478</v>
      </c>
      <c r="G396" s="318" t="s">
        <v>469</v>
      </c>
      <c r="H396" s="319" t="s">
        <v>1190</v>
      </c>
    </row>
    <row r="397" spans="1:8" ht="15" customHeight="1" x14ac:dyDescent="0.3">
      <c r="A397" s="133" t="s">
        <v>713</v>
      </c>
      <c r="B397" s="131">
        <f t="shared" si="13"/>
        <v>393</v>
      </c>
      <c r="C397" s="129" t="str">
        <f t="shared" si="12"/>
        <v>Costi (8.4)</v>
      </c>
      <c r="D397" s="107"/>
      <c r="E397" s="317"/>
      <c r="F397" s="310" t="s">
        <v>459</v>
      </c>
      <c r="G397" s="318" t="s">
        <v>458</v>
      </c>
      <c r="H397" s="319" t="s">
        <v>1191</v>
      </c>
    </row>
    <row r="398" spans="1:8" ht="15" customHeight="1" x14ac:dyDescent="0.3">
      <c r="A398" s="133" t="s">
        <v>715</v>
      </c>
      <c r="B398" s="131">
        <f t="shared" si="13"/>
        <v>394</v>
      </c>
      <c r="C398" s="129" t="str">
        <f t="shared" si="12"/>
        <v>Prestazioni proprie</v>
      </c>
      <c r="D398" s="107"/>
      <c r="E398" s="317"/>
      <c r="F398" s="310" t="s">
        <v>399</v>
      </c>
      <c r="G398" s="318" t="s">
        <v>123</v>
      </c>
      <c r="H398" s="319" t="s">
        <v>1192</v>
      </c>
    </row>
    <row r="399" spans="1:8" ht="15" customHeight="1" x14ac:dyDescent="0.3">
      <c r="A399" s="133" t="s">
        <v>716</v>
      </c>
      <c r="B399" s="131">
        <f t="shared" si="13"/>
        <v>395</v>
      </c>
      <c r="C399" s="129" t="str">
        <f t="shared" si="12"/>
        <v>Contributi di incentivazione di organizzazioni pubbliche</v>
      </c>
      <c r="D399" s="107"/>
      <c r="E399" s="317"/>
      <c r="F399" s="310" t="s">
        <v>500</v>
      </c>
      <c r="G399" s="318" t="s">
        <v>125</v>
      </c>
      <c r="H399" s="319" t="s">
        <v>1193</v>
      </c>
    </row>
    <row r="400" spans="1:8" ht="15" customHeight="1" x14ac:dyDescent="0.3">
      <c r="A400" s="133" t="s">
        <v>718</v>
      </c>
      <c r="B400" s="131">
        <f t="shared" si="13"/>
        <v>396</v>
      </c>
      <c r="C400" s="129" t="str">
        <f t="shared" si="12"/>
        <v>Contributo delle gare pubbliche IVA inclusa</v>
      </c>
      <c r="D400" s="107"/>
      <c r="E400" s="317"/>
      <c r="F400" s="310" t="s">
        <v>1277</v>
      </c>
      <c r="G400" s="318" t="s">
        <v>1280</v>
      </c>
      <c r="H400" s="319" t="s">
        <v>1278</v>
      </c>
    </row>
    <row r="401" spans="1:8" ht="15" customHeight="1" x14ac:dyDescent="0.3">
      <c r="A401" s="133" t="s">
        <v>701</v>
      </c>
      <c r="B401" s="131">
        <f t="shared" si="13"/>
        <v>397</v>
      </c>
      <c r="C401" s="129" t="str">
        <f t="shared" si="12"/>
        <v>Totale finanziamento</v>
      </c>
      <c r="D401" s="107"/>
      <c r="E401" s="317"/>
      <c r="F401" s="310" t="s">
        <v>400</v>
      </c>
      <c r="G401" s="318" t="s">
        <v>772</v>
      </c>
      <c r="H401" s="319" t="s">
        <v>1194</v>
      </c>
    </row>
    <row r="402" spans="1:8" ht="15" customHeight="1" x14ac:dyDescent="0.3">
      <c r="A402" s="133" t="s">
        <v>702</v>
      </c>
      <c r="B402" s="131">
        <f t="shared" si="13"/>
        <v>398</v>
      </c>
      <c r="C402" s="129" t="str">
        <f t="shared" si="12"/>
        <v>Piano di pagamento delle gare pubbliche</v>
      </c>
      <c r="D402" s="107"/>
      <c r="E402" s="317"/>
      <c r="F402" s="310" t="s">
        <v>401</v>
      </c>
      <c r="G402" s="318" t="s">
        <v>848</v>
      </c>
      <c r="H402" s="319" t="s">
        <v>1195</v>
      </c>
    </row>
    <row r="403" spans="1:8" ht="15" customHeight="1" x14ac:dyDescent="0.3">
      <c r="A403" s="133" t="s">
        <v>703</v>
      </c>
      <c r="B403" s="131">
        <f t="shared" si="13"/>
        <v>399</v>
      </c>
      <c r="C403" s="129" t="str">
        <f t="shared" si="12"/>
        <v>Come si presenta il piano di pagamento per il programma?</v>
      </c>
      <c r="D403" s="107"/>
      <c r="E403" s="317"/>
      <c r="F403" s="310" t="s">
        <v>402</v>
      </c>
      <c r="G403" s="318" t="s">
        <v>775</v>
      </c>
      <c r="H403" s="319" t="s">
        <v>1196</v>
      </c>
    </row>
    <row r="404" spans="1:8" ht="15" customHeight="1" x14ac:dyDescent="0.3">
      <c r="A404" s="133" t="s">
        <v>729</v>
      </c>
      <c r="B404" s="131">
        <f t="shared" si="13"/>
        <v>400</v>
      </c>
      <c r="C404" s="129" t="str">
        <f t="shared" si="12"/>
        <v>Descrivere il finanziamento e i partner coinvolti per il finanziamento.</v>
      </c>
      <c r="D404" s="107"/>
      <c r="E404" s="317"/>
      <c r="F404" s="310" t="s">
        <v>403</v>
      </c>
      <c r="G404" s="318" t="s">
        <v>152</v>
      </c>
      <c r="H404" s="319" t="s">
        <v>1197</v>
      </c>
    </row>
    <row r="405" spans="1:8" ht="15" customHeight="1" x14ac:dyDescent="0.3">
      <c r="A405" s="133" t="s">
        <v>722</v>
      </c>
      <c r="B405" s="131">
        <f t="shared" si="13"/>
        <v>401</v>
      </c>
      <c r="C405" s="129" t="str">
        <f t="shared" si="12"/>
        <v>Cosa viene pagato con i mezzi delle gare pubbliche?</v>
      </c>
      <c r="D405" s="107"/>
      <c r="E405" s="317"/>
      <c r="F405" s="310" t="s">
        <v>404</v>
      </c>
      <c r="G405" s="318" t="s">
        <v>7</v>
      </c>
      <c r="H405" s="319" t="s">
        <v>1198</v>
      </c>
    </row>
    <row r="406" spans="1:8" ht="15" customHeight="1" x14ac:dyDescent="0.3">
      <c r="A406" s="133" t="s">
        <v>723</v>
      </c>
      <c r="B406" s="131">
        <f t="shared" si="13"/>
        <v>402</v>
      </c>
      <c r="C406" s="129" t="str">
        <f t="shared" si="12"/>
        <v>Oltre alle gare pubbliche ci sono altri contributi «a fondo perso» di altre organizzazioni (Confederazione, cantone o altre organizzazioni private)?</v>
      </c>
      <c r="D406" s="107"/>
      <c r="E406" s="317"/>
      <c r="F406" s="310" t="s">
        <v>505</v>
      </c>
      <c r="G406" s="318" t="s">
        <v>471</v>
      </c>
      <c r="H406" s="319" t="s">
        <v>1199</v>
      </c>
    </row>
    <row r="407" spans="1:8" ht="15" customHeight="1" x14ac:dyDescent="0.3">
      <c r="A407" s="133" t="s">
        <v>724</v>
      </c>
      <c r="B407" s="131">
        <f t="shared" si="13"/>
        <v>403</v>
      </c>
      <c r="C407" s="129" t="str">
        <f t="shared" si="12"/>
        <v>Definizioni delle quote che vengono finanziate da altre organizzazioni.</v>
      </c>
      <c r="D407" s="107"/>
      <c r="E407" s="317"/>
      <c r="F407" s="310" t="s">
        <v>506</v>
      </c>
      <c r="G407" s="318" t="s">
        <v>502</v>
      </c>
      <c r="H407" s="319" t="s">
        <v>1200</v>
      </c>
    </row>
    <row r="408" spans="1:8" ht="15" customHeight="1" x14ac:dyDescent="0.3">
      <c r="A408" s="133" t="s">
        <v>725</v>
      </c>
      <c r="B408" s="131">
        <f t="shared" si="13"/>
        <v>404</v>
      </c>
      <c r="C408" s="129" t="str">
        <f t="shared" si="12"/>
        <v>Definizione delle quote che vengono coperte da altre organizzazioni.</v>
      </c>
      <c r="D408" s="107"/>
      <c r="E408" s="317"/>
      <c r="F408" s="310" t="s">
        <v>507</v>
      </c>
      <c r="G408" s="318" t="s">
        <v>501</v>
      </c>
      <c r="H408" s="319" t="s">
        <v>1201</v>
      </c>
    </row>
    <row r="409" spans="1:8" ht="15" customHeight="1" x14ac:dyDescent="0.3">
      <c r="A409" s="133" t="s">
        <v>732</v>
      </c>
      <c r="B409" s="131">
        <f t="shared" si="13"/>
        <v>405</v>
      </c>
      <c r="C409" s="129" t="str">
        <f t="shared" si="12"/>
        <v>In caso affermativo, è già disponibile una conferma?
In caso negativo, entro quando sarà disponibile e da cosa dipende?</v>
      </c>
      <c r="D409" s="107"/>
      <c r="E409" s="317"/>
      <c r="F409" s="310" t="s">
        <v>1291</v>
      </c>
      <c r="G409" s="318" t="s">
        <v>470</v>
      </c>
      <c r="H409" s="319" t="s">
        <v>1202</v>
      </c>
    </row>
    <row r="410" spans="1:8" ht="15" customHeight="1" x14ac:dyDescent="0.3">
      <c r="A410" s="133" t="s">
        <v>728</v>
      </c>
      <c r="B410" s="131">
        <f t="shared" si="13"/>
        <v>406</v>
      </c>
      <c r="C410" s="129" t="str">
        <f t="shared" si="12"/>
        <v>Riprendere i costi da (6.2)</v>
      </c>
      <c r="D410" s="107"/>
      <c r="E410" s="317"/>
      <c r="F410" s="310" t="s">
        <v>405</v>
      </c>
      <c r="G410" s="318" t="s">
        <v>47</v>
      </c>
      <c r="H410" s="319" t="s">
        <v>1203</v>
      </c>
    </row>
    <row r="411" spans="1:8" ht="15" customHeight="1" x14ac:dyDescent="0.3">
      <c r="A411" s="133" t="s">
        <v>727</v>
      </c>
      <c r="B411" s="131">
        <f t="shared" si="13"/>
        <v>407</v>
      </c>
      <c r="C411" s="129" t="str">
        <f t="shared" si="12"/>
        <v>Prestazioni proprie erogate dall'organo responsabile (per es. personale, infrastruttura, ecc.)</v>
      </c>
      <c r="D411" s="107"/>
      <c r="E411" s="317"/>
      <c r="F411" s="310" t="s">
        <v>406</v>
      </c>
      <c r="G411" s="318" t="s">
        <v>126</v>
      </c>
      <c r="H411" s="319" t="s">
        <v>1204</v>
      </c>
    </row>
    <row r="412" spans="1:8" ht="15" customHeight="1" x14ac:dyDescent="0.3">
      <c r="A412" s="133" t="s">
        <v>866</v>
      </c>
      <c r="B412" s="131">
        <f t="shared" si="13"/>
        <v>408</v>
      </c>
      <c r="C412" s="129" t="str">
        <f t="shared" si="12"/>
        <v>Contributi ricevuti "a fondo perso" (cantone, comuni, fondazioni, aziende elettriche, ecc.)</v>
      </c>
      <c r="D412" s="107"/>
      <c r="E412" s="317"/>
      <c r="F412" s="310" t="s">
        <v>1557</v>
      </c>
      <c r="G412" s="318" t="s">
        <v>1556</v>
      </c>
      <c r="H412" s="319" t="s">
        <v>1546</v>
      </c>
    </row>
    <row r="413" spans="1:8" ht="15" customHeight="1" x14ac:dyDescent="0.3">
      <c r="A413" s="133" t="s">
        <v>867</v>
      </c>
      <c r="B413" s="131">
        <f t="shared" si="13"/>
        <v>409</v>
      </c>
      <c r="C413" s="129" t="str">
        <f t="shared" si="12"/>
        <v>Contributo richiesto dalle gare pubbliche. Importo minimo CHF 150'000.-.  Importo massimo 3 mln. CHF.</v>
      </c>
      <c r="D413" s="107"/>
      <c r="E413" s="317"/>
      <c r="F413" s="310" t="s">
        <v>1754</v>
      </c>
      <c r="G413" s="318" t="s">
        <v>1613</v>
      </c>
      <c r="H413" s="319" t="s">
        <v>1755</v>
      </c>
    </row>
    <row r="414" spans="1:8" ht="15" customHeight="1" x14ac:dyDescent="0.3">
      <c r="A414" s="133" t="s">
        <v>868</v>
      </c>
      <c r="B414" s="131">
        <f t="shared" si="13"/>
        <v>410</v>
      </c>
      <c r="C414" s="129" t="str">
        <f t="shared" si="12"/>
        <v>Descrizione del piano di pagamento per i mezzi delle gare pubbliche nella descrizione dettagliata del programma o come allegato.</v>
      </c>
      <c r="D414" s="107"/>
      <c r="E414" s="317"/>
      <c r="F414" s="310" t="s">
        <v>1293</v>
      </c>
      <c r="G414" s="318" t="s">
        <v>1292</v>
      </c>
      <c r="H414" s="319" t="s">
        <v>1205</v>
      </c>
    </row>
    <row r="415" spans="1:8" ht="15" customHeight="1" x14ac:dyDescent="0.3">
      <c r="A415" s="133"/>
      <c r="B415" s="131">
        <f t="shared" si="13"/>
        <v>411</v>
      </c>
      <c r="C415" s="129" t="str">
        <f t="shared" si="12"/>
        <v>Principalmente finanziato dai clienti target</v>
      </c>
      <c r="D415" s="107"/>
      <c r="E415" s="317"/>
      <c r="F415" s="310" t="s">
        <v>1502</v>
      </c>
      <c r="G415" s="318" t="s">
        <v>1443</v>
      </c>
      <c r="H415" s="319" t="s">
        <v>1547</v>
      </c>
    </row>
    <row r="416" spans="1:8" ht="15" customHeight="1" x14ac:dyDescent="0.3">
      <c r="A416" s="133"/>
      <c r="B416" s="131">
        <f t="shared" si="13"/>
        <v>412</v>
      </c>
      <c r="C416" s="129" t="str">
        <f t="shared" si="12"/>
        <v>Contributi di incentivazione di organizzazioni private</v>
      </c>
      <c r="D416" s="107"/>
      <c r="E416" s="317"/>
      <c r="F416" s="310" t="s">
        <v>890</v>
      </c>
      <c r="G416" s="318" t="s">
        <v>124</v>
      </c>
      <c r="H416" s="319" t="s">
        <v>1206</v>
      </c>
    </row>
    <row r="417" spans="1:8" ht="15" customHeight="1" x14ac:dyDescent="0.3">
      <c r="A417" s="133"/>
      <c r="B417" s="131">
        <f t="shared" si="13"/>
        <v>413</v>
      </c>
      <c r="C417" s="129">
        <f t="shared" si="12"/>
        <v>0</v>
      </c>
      <c r="D417" s="107"/>
      <c r="E417" s="317"/>
      <c r="F417" s="310"/>
      <c r="G417" s="318"/>
      <c r="H417" s="319"/>
    </row>
    <row r="418" spans="1:8" ht="15" customHeight="1" x14ac:dyDescent="0.3">
      <c r="A418" s="133"/>
      <c r="B418" s="131">
        <f t="shared" si="13"/>
        <v>414</v>
      </c>
      <c r="C418" s="129">
        <f t="shared" si="12"/>
        <v>0</v>
      </c>
      <c r="D418" s="107"/>
      <c r="E418" s="317"/>
      <c r="F418" s="310"/>
      <c r="G418" s="318"/>
      <c r="H418" s="319"/>
    </row>
    <row r="419" spans="1:8" ht="15" customHeight="1" x14ac:dyDescent="0.3">
      <c r="A419" s="133"/>
      <c r="B419" s="131">
        <f t="shared" si="13"/>
        <v>415</v>
      </c>
      <c r="C419" s="129">
        <f t="shared" si="12"/>
        <v>0</v>
      </c>
      <c r="D419" s="107"/>
      <c r="E419" s="317"/>
      <c r="F419" s="310"/>
      <c r="G419" s="318"/>
      <c r="H419" s="319"/>
    </row>
    <row r="420" spans="1:8" ht="15" customHeight="1" x14ac:dyDescent="0.3">
      <c r="A420" s="130" t="s">
        <v>744</v>
      </c>
      <c r="B420" s="131">
        <f t="shared" si="13"/>
        <v>416</v>
      </c>
      <c r="C420" s="129">
        <f t="shared" si="12"/>
        <v>0</v>
      </c>
      <c r="D420" s="107"/>
      <c r="E420" s="317"/>
      <c r="F420" s="310"/>
      <c r="G420" s="318"/>
      <c r="H420" s="319"/>
    </row>
    <row r="421" spans="1:8" ht="15" customHeight="1" x14ac:dyDescent="0.3">
      <c r="A421" s="133"/>
      <c r="B421" s="131">
        <f t="shared" si="13"/>
        <v>417</v>
      </c>
      <c r="C421" s="129" t="str">
        <f t="shared" si="12"/>
        <v>Prima dell'attuazione del programma</v>
      </c>
      <c r="D421" s="107"/>
      <c r="E421" s="317"/>
      <c r="F421" s="310" t="s">
        <v>407</v>
      </c>
      <c r="G421" s="318" t="s">
        <v>780</v>
      </c>
      <c r="H421" s="319" t="s">
        <v>1207</v>
      </c>
    </row>
    <row r="422" spans="1:8" ht="15" customHeight="1" x14ac:dyDescent="0.3">
      <c r="A422" s="133"/>
      <c r="B422" s="131">
        <f t="shared" si="13"/>
        <v>418</v>
      </c>
      <c r="C422" s="129" t="str">
        <f t="shared" si="12"/>
        <v>Quali questioni sono ancora aperte in merito alle tecnologie impiegate per le misure di efficienza?</v>
      </c>
      <c r="D422" s="107"/>
      <c r="E422" s="317"/>
      <c r="F422" s="310" t="s">
        <v>479</v>
      </c>
      <c r="G422" s="318" t="s">
        <v>807</v>
      </c>
      <c r="H422" s="319" t="s">
        <v>1208</v>
      </c>
    </row>
    <row r="423" spans="1:8" ht="15" customHeight="1" x14ac:dyDescent="0.3">
      <c r="A423" s="133"/>
      <c r="B423" s="131">
        <f t="shared" si="13"/>
        <v>419</v>
      </c>
      <c r="C423" s="129" t="str">
        <f t="shared" si="12"/>
        <v>Quali incertezze sussistono nella valutazione dell'efficacia del programma?</v>
      </c>
      <c r="D423" s="107"/>
      <c r="E423" s="317"/>
      <c r="F423" s="310" t="s">
        <v>480</v>
      </c>
      <c r="G423" s="318" t="s">
        <v>808</v>
      </c>
      <c r="H423" s="319" t="s">
        <v>1209</v>
      </c>
    </row>
    <row r="424" spans="1:8" ht="15" customHeight="1" x14ac:dyDescent="0.3">
      <c r="A424" s="133"/>
      <c r="B424" s="131">
        <f t="shared" si="13"/>
        <v>420</v>
      </c>
      <c r="C424" s="129" t="str">
        <f t="shared" si="12"/>
        <v>Quali rischi esistono per garantire il finanziamento?</v>
      </c>
      <c r="D424" s="107"/>
      <c r="E424" s="317"/>
      <c r="F424" s="310" t="s">
        <v>481</v>
      </c>
      <c r="G424" s="318" t="s">
        <v>813</v>
      </c>
      <c r="H424" s="319" t="s">
        <v>1210</v>
      </c>
    </row>
    <row r="425" spans="1:8" ht="15" customHeight="1" x14ac:dyDescent="0.3">
      <c r="A425" s="133"/>
      <c r="B425" s="131">
        <f t="shared" si="13"/>
        <v>421</v>
      </c>
      <c r="C425" s="129" t="str">
        <f t="shared" si="12"/>
        <v>Attuazione del programma</v>
      </c>
      <c r="D425" s="107"/>
      <c r="E425" s="317"/>
      <c r="F425" s="310" t="s">
        <v>408</v>
      </c>
      <c r="G425" s="318" t="s">
        <v>781</v>
      </c>
      <c r="H425" s="319" t="s">
        <v>1211</v>
      </c>
    </row>
    <row r="426" spans="1:8" ht="15" customHeight="1" x14ac:dyDescent="0.3">
      <c r="A426" s="133"/>
      <c r="B426" s="131">
        <f t="shared" si="13"/>
        <v>422</v>
      </c>
      <c r="C426" s="129" t="str">
        <f t="shared" si="12"/>
        <v>Quali condizioni generali possono influenzare il risparmio di elettricità atteso?</v>
      </c>
      <c r="D426" s="107"/>
      <c r="E426" s="317"/>
      <c r="F426" s="310" t="s">
        <v>482</v>
      </c>
      <c r="G426" s="318" t="s">
        <v>809</v>
      </c>
      <c r="H426" s="319" t="s">
        <v>1212</v>
      </c>
    </row>
    <row r="427" spans="1:8" ht="15" customHeight="1" x14ac:dyDescent="0.3">
      <c r="A427" s="133"/>
      <c r="B427" s="131">
        <f t="shared" si="13"/>
        <v>423</v>
      </c>
      <c r="C427" s="129" t="str">
        <f t="shared" si="12"/>
        <v>Le risorse di personale e la competenza specialistica sono disponibili?</v>
      </c>
      <c r="D427" s="107"/>
      <c r="E427" s="317"/>
      <c r="F427" s="310" t="s">
        <v>483</v>
      </c>
      <c r="G427" s="318" t="s">
        <v>810</v>
      </c>
      <c r="H427" s="319" t="s">
        <v>1213</v>
      </c>
    </row>
    <row r="428" spans="1:8" ht="15" customHeight="1" x14ac:dyDescent="0.3">
      <c r="A428" s="133"/>
      <c r="B428" s="131">
        <f t="shared" si="13"/>
        <v>424</v>
      </c>
      <c r="C428" s="129" t="str">
        <f t="shared" si="12"/>
        <v>Ci sono incertezze sul raggiungimento degli obiettivi?</v>
      </c>
      <c r="D428" s="107"/>
      <c r="E428" s="317"/>
      <c r="F428" s="310" t="s">
        <v>484</v>
      </c>
      <c r="G428" s="318" t="s">
        <v>811</v>
      </c>
      <c r="H428" s="319" t="s">
        <v>1214</v>
      </c>
    </row>
    <row r="429" spans="1:8" ht="15" customHeight="1" x14ac:dyDescent="0.3">
      <c r="A429" s="133"/>
      <c r="B429" s="131">
        <f t="shared" si="13"/>
        <v>425</v>
      </c>
      <c r="C429" s="129" t="str">
        <f t="shared" si="12"/>
        <v xml:space="preserve">Quali sono le insicurezze tecniche sulla gestione? </v>
      </c>
      <c r="D429" s="107"/>
      <c r="E429" s="317"/>
      <c r="F429" s="310" t="s">
        <v>485</v>
      </c>
      <c r="G429" s="318" t="s">
        <v>812</v>
      </c>
      <c r="H429" s="319" t="s">
        <v>1215</v>
      </c>
    </row>
    <row r="430" spans="1:8" ht="15" customHeight="1" x14ac:dyDescent="0.3">
      <c r="A430" s="133"/>
      <c r="B430" s="131">
        <f t="shared" si="13"/>
        <v>426</v>
      </c>
      <c r="C430" s="129" t="str">
        <f t="shared" si="12"/>
        <v>Qual è il rischio finanziario massimo risultante per ProKilowatt in caso di fallimento del programma?</v>
      </c>
      <c r="D430" s="107"/>
      <c r="E430" s="317"/>
      <c r="F430" s="310" t="s">
        <v>891</v>
      </c>
      <c r="G430" s="318" t="s">
        <v>530</v>
      </c>
      <c r="H430" s="319" t="s">
        <v>1216</v>
      </c>
    </row>
    <row r="431" spans="1:8" ht="15" customHeight="1" x14ac:dyDescent="0.3">
      <c r="A431" s="133"/>
      <c r="B431" s="131">
        <f t="shared" si="13"/>
        <v>427</v>
      </c>
      <c r="C431" s="129" t="str">
        <f t="shared" si="12"/>
        <v>I rischi di attuazione devono essere più piccoli possibile. Questi confluiscono nella valutazione del programma con una ponderazione di 0.15.</v>
      </c>
      <c r="D431" s="107"/>
      <c r="E431" s="317"/>
      <c r="F431" s="310" t="s">
        <v>409</v>
      </c>
      <c r="G431" s="318" t="s">
        <v>103</v>
      </c>
      <c r="H431" s="319" t="s">
        <v>1217</v>
      </c>
    </row>
    <row r="432" spans="1:8" ht="15" customHeight="1" x14ac:dyDescent="0.3">
      <c r="A432" s="133"/>
      <c r="B432" s="131">
        <f t="shared" si="13"/>
        <v>428</v>
      </c>
      <c r="C432" s="129" t="str">
        <f t="shared" si="12"/>
        <v>Descrivere i rischi o le incertezze di tipo tecnologico nell'attuazione delle misure di efficienza.</v>
      </c>
      <c r="D432" s="107"/>
      <c r="E432" s="317"/>
      <c r="F432" s="310" t="s">
        <v>410</v>
      </c>
      <c r="G432" s="318" t="s">
        <v>153</v>
      </c>
      <c r="H432" s="319" t="s">
        <v>1218</v>
      </c>
    </row>
    <row r="433" spans="1:8" ht="15" customHeight="1" x14ac:dyDescent="0.3">
      <c r="A433" s="133"/>
      <c r="B433" s="131">
        <f t="shared" si="13"/>
        <v>429</v>
      </c>
      <c r="C433" s="129" t="str">
        <f t="shared" si="12"/>
        <v>Descrivere le incertezze nella valutazione dell'efficacia (ossia l'insufficienza dell'evidenza empirica).</v>
      </c>
      <c r="D433" s="107"/>
      <c r="E433" s="317"/>
      <c r="F433" s="310" t="s">
        <v>411</v>
      </c>
      <c r="G433" s="318" t="s">
        <v>109</v>
      </c>
      <c r="H433" s="319" t="s">
        <v>1219</v>
      </c>
    </row>
    <row r="434" spans="1:8" ht="15" customHeight="1" x14ac:dyDescent="0.3">
      <c r="A434" s="133"/>
      <c r="B434" s="131">
        <f t="shared" si="13"/>
        <v>430</v>
      </c>
      <c r="C434" s="129" t="str">
        <f t="shared" si="12"/>
        <v>Rischi esistenti nel finanziamento? Qualora sussistano dei rischi, descrivere cosa viene fatto per contrastarli.</v>
      </c>
      <c r="D434" s="107"/>
      <c r="E434" s="317"/>
      <c r="F434" s="310" t="s">
        <v>486</v>
      </c>
      <c r="G434" s="318" t="s">
        <v>9</v>
      </c>
      <c r="H434" s="319" t="s">
        <v>1220</v>
      </c>
    </row>
    <row r="435" spans="1:8" ht="15" customHeight="1" x14ac:dyDescent="0.3">
      <c r="A435" s="133"/>
      <c r="B435" s="131">
        <f t="shared" si="13"/>
        <v>431</v>
      </c>
      <c r="C435" s="129" t="str">
        <f t="shared" si="12"/>
        <v>Condizioni generali incerte che potrebbero ostacolare il raggiungimento degli obiettivi.</v>
      </c>
      <c r="D435" s="107"/>
      <c r="E435" s="317"/>
      <c r="F435" s="310" t="s">
        <v>412</v>
      </c>
      <c r="G435" s="318" t="s">
        <v>144</v>
      </c>
      <c r="H435" s="319" t="s">
        <v>1221</v>
      </c>
    </row>
    <row r="436" spans="1:8" ht="15" customHeight="1" x14ac:dyDescent="0.3">
      <c r="A436" s="133"/>
      <c r="B436" s="131">
        <f t="shared" si="13"/>
        <v>432</v>
      </c>
      <c r="C436" s="129" t="str">
        <f t="shared" si="12"/>
        <v>Mancanza di risorse di personale e mancanza di competenze specialistiche.</v>
      </c>
      <c r="D436" s="107"/>
      <c r="E436" s="317"/>
      <c r="F436" s="310" t="s">
        <v>413</v>
      </c>
      <c r="G436" s="318" t="s">
        <v>154</v>
      </c>
      <c r="H436" s="319" t="s">
        <v>1222</v>
      </c>
    </row>
    <row r="437" spans="1:8" ht="15" customHeight="1" x14ac:dyDescent="0.3">
      <c r="A437" s="133"/>
      <c r="B437" s="131">
        <f t="shared" si="13"/>
        <v>433</v>
      </c>
      <c r="C437" s="129" t="str">
        <f t="shared" si="12"/>
        <v>Insicurezze (motivazione, cambiamento di comportamento) nei gruppi target, che influenzano il risparmio.</v>
      </c>
      <c r="D437" s="107"/>
      <c r="E437" s="317"/>
      <c r="F437" s="310" t="s">
        <v>414</v>
      </c>
      <c r="G437" s="318" t="s">
        <v>10</v>
      </c>
      <c r="H437" s="319" t="s">
        <v>1223</v>
      </c>
    </row>
    <row r="438" spans="1:8" ht="15" customHeight="1" x14ac:dyDescent="0.3">
      <c r="A438" s="133"/>
      <c r="B438" s="131">
        <f t="shared" si="13"/>
        <v>434</v>
      </c>
      <c r="C438" s="129" t="str">
        <f t="shared" si="12"/>
        <v>Incertezze tecniche sulla gestione (guasti, scarso grado di efficienza).</v>
      </c>
      <c r="D438" s="107"/>
      <c r="E438" s="317"/>
      <c r="F438" s="310" t="s">
        <v>415</v>
      </c>
      <c r="G438" s="318" t="s">
        <v>11</v>
      </c>
      <c r="H438" s="319" t="s">
        <v>1224</v>
      </c>
    </row>
    <row r="439" spans="1:8" ht="15" customHeight="1" x14ac:dyDescent="0.3">
      <c r="A439" s="133"/>
      <c r="B439" s="131">
        <f t="shared" si="13"/>
        <v>435</v>
      </c>
      <c r="C439" s="129" t="str">
        <f t="shared" si="12"/>
        <v>Massimo rischio finanziario (costi non legati all'attuazione) in caso di fallimento del programma.</v>
      </c>
      <c r="D439" s="107"/>
      <c r="E439" s="317"/>
      <c r="F439" s="310" t="s">
        <v>892</v>
      </c>
      <c r="G439" s="318" t="s">
        <v>545</v>
      </c>
      <c r="H439" s="319" t="s">
        <v>1225</v>
      </c>
    </row>
    <row r="440" spans="1:8" ht="15" customHeight="1" x14ac:dyDescent="0.3">
      <c r="A440" s="133"/>
      <c r="B440" s="131">
        <f t="shared" si="13"/>
        <v>436</v>
      </c>
      <c r="C440" s="129">
        <f t="shared" si="12"/>
        <v>0</v>
      </c>
      <c r="D440" s="107"/>
      <c r="E440" s="317"/>
      <c r="F440" s="310"/>
      <c r="G440" s="318"/>
      <c r="H440" s="319"/>
    </row>
    <row r="441" spans="1:8" ht="15" customHeight="1" x14ac:dyDescent="0.3">
      <c r="A441" s="130" t="s">
        <v>745</v>
      </c>
      <c r="B441" s="131">
        <f t="shared" si="13"/>
        <v>437</v>
      </c>
      <c r="C441" s="129">
        <f t="shared" si="12"/>
        <v>0</v>
      </c>
      <c r="D441" s="107"/>
      <c r="E441" s="317"/>
      <c r="F441" s="310"/>
      <c r="G441" s="318"/>
      <c r="H441" s="319"/>
    </row>
    <row r="442" spans="1:8" ht="15" customHeight="1" x14ac:dyDescent="0.3">
      <c r="A442" s="133" t="s">
        <v>705</v>
      </c>
      <c r="B442" s="131">
        <f t="shared" si="13"/>
        <v>438</v>
      </c>
      <c r="C442" s="129" t="str">
        <f t="shared" si="12"/>
        <v>Effetto rafforzativo</v>
      </c>
      <c r="D442" s="107"/>
      <c r="E442" s="317"/>
      <c r="F442" s="310" t="s">
        <v>416</v>
      </c>
      <c r="G442" s="318" t="s">
        <v>782</v>
      </c>
      <c r="H442" s="319" t="s">
        <v>1226</v>
      </c>
    </row>
    <row r="443" spans="1:8" ht="15" customHeight="1" x14ac:dyDescent="0.3">
      <c r="A443" s="133" t="s">
        <v>637</v>
      </c>
      <c r="B443" s="131">
        <f t="shared" si="13"/>
        <v>439</v>
      </c>
      <c r="C443" s="129" t="str">
        <f t="shared" si="12"/>
        <v>C'è un effetto rafforzativo? E in caso affermativo, quale?</v>
      </c>
      <c r="D443" s="107"/>
      <c r="E443" s="317"/>
      <c r="F443" s="310" t="s">
        <v>487</v>
      </c>
      <c r="G443" s="318" t="s">
        <v>13</v>
      </c>
      <c r="H443" s="319" t="s">
        <v>1227</v>
      </c>
    </row>
    <row r="444" spans="1:8" ht="15" customHeight="1" x14ac:dyDescent="0.3">
      <c r="A444" s="133" t="s">
        <v>707</v>
      </c>
      <c r="B444" s="131">
        <f t="shared" si="13"/>
        <v>440</v>
      </c>
      <c r="C444" s="129" t="str">
        <f t="shared" si="12"/>
        <v>Effetto inerziale</v>
      </c>
      <c r="D444" s="107"/>
      <c r="E444" s="317"/>
      <c r="F444" s="310" t="s">
        <v>417</v>
      </c>
      <c r="G444" s="318" t="s">
        <v>783</v>
      </c>
      <c r="H444" s="319" t="s">
        <v>1228</v>
      </c>
    </row>
    <row r="445" spans="1:8" ht="15" customHeight="1" x14ac:dyDescent="0.3">
      <c r="A445" s="133" t="s">
        <v>708</v>
      </c>
      <c r="B445" s="131">
        <f t="shared" si="13"/>
        <v>441</v>
      </c>
      <c r="C445" s="129" t="str">
        <f t="shared" si="12"/>
        <v>Come viene raggiunto l'effetto inerziale?</v>
      </c>
      <c r="D445" s="107"/>
      <c r="E445" s="317"/>
      <c r="F445" s="310" t="s">
        <v>488</v>
      </c>
      <c r="G445" s="318" t="s">
        <v>814</v>
      </c>
      <c r="H445" s="319" t="s">
        <v>1229</v>
      </c>
    </row>
    <row r="446" spans="1:8" ht="15" customHeight="1" x14ac:dyDescent="0.3">
      <c r="A446" s="133" t="s">
        <v>711</v>
      </c>
      <c r="B446" s="131">
        <f t="shared" si="13"/>
        <v>442</v>
      </c>
      <c r="C446" s="129" t="str">
        <f t="shared" si="12"/>
        <v>Effetto di innovazione</v>
      </c>
      <c r="D446" s="107"/>
      <c r="E446" s="317"/>
      <c r="F446" s="310" t="s">
        <v>418</v>
      </c>
      <c r="G446" s="318" t="s">
        <v>784</v>
      </c>
      <c r="H446" s="319" t="s">
        <v>1230</v>
      </c>
    </row>
    <row r="447" spans="1:8" ht="15" customHeight="1" x14ac:dyDescent="0.3">
      <c r="A447" s="133" t="s">
        <v>721</v>
      </c>
      <c r="B447" s="131">
        <f t="shared" si="13"/>
        <v>443</v>
      </c>
      <c r="C447" s="129" t="str">
        <f t="shared" si="12"/>
        <v>C'è un effetto di innovazione? E in caso affermativo, quale?</v>
      </c>
      <c r="D447" s="107"/>
      <c r="E447" s="317"/>
      <c r="F447" s="310" t="s">
        <v>489</v>
      </c>
      <c r="G447" s="318" t="s">
        <v>849</v>
      </c>
      <c r="H447" s="319" t="s">
        <v>1231</v>
      </c>
    </row>
    <row r="448" spans="1:8" ht="15" customHeight="1" x14ac:dyDescent="0.3">
      <c r="A448" s="133" t="s">
        <v>713</v>
      </c>
      <c r="B448" s="131">
        <f t="shared" si="13"/>
        <v>444</v>
      </c>
      <c r="C448" s="129" t="str">
        <f t="shared" si="12"/>
        <v>Effetto segnaletico</v>
      </c>
      <c r="D448" s="107"/>
      <c r="E448" s="317"/>
      <c r="F448" s="310" t="s">
        <v>419</v>
      </c>
      <c r="G448" s="318" t="s">
        <v>785</v>
      </c>
      <c r="H448" s="319" t="s">
        <v>1232</v>
      </c>
    </row>
    <row r="449" spans="1:8" ht="15" customHeight="1" x14ac:dyDescent="0.3">
      <c r="A449" s="133" t="s">
        <v>715</v>
      </c>
      <c r="B449" s="131">
        <f t="shared" si="13"/>
        <v>445</v>
      </c>
      <c r="C449" s="129" t="str">
        <f t="shared" si="12"/>
        <v>Quale effetto segnaletico ci si può attendere dal programma?</v>
      </c>
      <c r="D449" s="107"/>
      <c r="E449" s="317"/>
      <c r="F449" s="310" t="s">
        <v>490</v>
      </c>
      <c r="G449" s="318" t="s">
        <v>12</v>
      </c>
      <c r="H449" s="319" t="s">
        <v>1233</v>
      </c>
    </row>
    <row r="450" spans="1:8" ht="15" customHeight="1" x14ac:dyDescent="0.3">
      <c r="A450" s="133" t="s">
        <v>743</v>
      </c>
      <c r="B450" s="131">
        <f t="shared" si="13"/>
        <v>446</v>
      </c>
      <c r="C450" s="129" t="str">
        <f t="shared" si="12"/>
        <v>Le condizioni supplementari non devono essere necessariamente soddisfatte, ma nella valutazione se ne tiene conto con una ponderazione di 0.1.</v>
      </c>
      <c r="D450" s="107"/>
      <c r="E450" s="317"/>
      <c r="F450" s="310" t="s">
        <v>521</v>
      </c>
      <c r="G450" s="318" t="s">
        <v>110</v>
      </c>
      <c r="H450" s="319" t="s">
        <v>1234</v>
      </c>
    </row>
    <row r="451" spans="1:8" ht="15" customHeight="1" x14ac:dyDescent="0.3">
      <c r="A451" s="133" t="s">
        <v>729</v>
      </c>
      <c r="B451" s="131">
        <f t="shared" si="13"/>
        <v>447</v>
      </c>
      <c r="C451" s="129" t="str">
        <f t="shared" si="12"/>
        <v>Descrivere l'effetto rafforzativo delle diverse misure.
Quali misure esistenti o pianificate sostiene il programma?</v>
      </c>
      <c r="D451" s="107"/>
      <c r="E451" s="317"/>
      <c r="F451" s="310" t="s">
        <v>491</v>
      </c>
      <c r="G451" s="318" t="s">
        <v>155</v>
      </c>
      <c r="H451" s="319" t="s">
        <v>1235</v>
      </c>
    </row>
    <row r="452" spans="1:8" ht="15" customHeight="1" x14ac:dyDescent="0.3">
      <c r="A452" s="133" t="s">
        <v>724</v>
      </c>
      <c r="B452" s="131">
        <f t="shared" si="13"/>
        <v>448</v>
      </c>
      <c r="C452" s="129" t="str">
        <f t="shared" si="12"/>
        <v>Descrivere l'effetto inerziale delle diverse misure.
Il programma ha la potenzialità di essere  proseguito in futuro senza il supporto delle «gare pubbliche»?</v>
      </c>
      <c r="D452" s="107"/>
      <c r="E452" s="317"/>
      <c r="F452" s="310" t="s">
        <v>492</v>
      </c>
      <c r="G452" s="318" t="s">
        <v>156</v>
      </c>
      <c r="H452" s="319" t="s">
        <v>1236</v>
      </c>
    </row>
    <row r="453" spans="1:8" ht="15" customHeight="1" x14ac:dyDescent="0.3">
      <c r="A453" s="133" t="s">
        <v>738</v>
      </c>
      <c r="B453" s="131">
        <f t="shared" si="13"/>
        <v>449</v>
      </c>
      <c r="C453" s="129" t="str">
        <f t="shared" ref="C453:C516" si="14">IF($B$1="f",F453,IF($B$1="d",G453,H453))</f>
        <v>Descrivere l'effetto di innovazione delle diverse misure. 
Il programma contribuisce a rendere più veloce la maturità commerciale delle nuove tecnologie o la diffusione delle tecnologie innovative e delle misure di efficienza?</v>
      </c>
      <c r="D453" s="107"/>
      <c r="E453" s="317"/>
      <c r="F453" s="310" t="s">
        <v>493</v>
      </c>
      <c r="G453" s="318" t="s">
        <v>157</v>
      </c>
      <c r="H453" s="319" t="s">
        <v>1237</v>
      </c>
    </row>
    <row r="454" spans="1:8" ht="15" customHeight="1" x14ac:dyDescent="0.3">
      <c r="A454" s="133" t="s">
        <v>727</v>
      </c>
      <c r="B454" s="131">
        <f t="shared" ref="B454:B517" si="15">B453+1</f>
        <v>450</v>
      </c>
      <c r="C454" s="129" t="str">
        <f t="shared" si="14"/>
        <v>Descrivere il valore di esempio delle diverse misure.
Il programma serve a far radicare il tema del consumo più efficiente di energia elettrica negli attori rilevanti?</v>
      </c>
      <c r="D454" s="107"/>
      <c r="E454" s="317"/>
      <c r="F454" s="310" t="s">
        <v>494</v>
      </c>
      <c r="G454" s="318" t="s">
        <v>111</v>
      </c>
      <c r="H454" s="319" t="s">
        <v>1238</v>
      </c>
    </row>
    <row r="455" spans="1:8" ht="15" customHeight="1" x14ac:dyDescent="0.3">
      <c r="A455" s="133"/>
      <c r="B455" s="131">
        <f t="shared" si="15"/>
        <v>451</v>
      </c>
      <c r="C455" s="129">
        <f t="shared" si="14"/>
        <v>0</v>
      </c>
      <c r="D455" s="107"/>
      <c r="E455" s="317"/>
      <c r="F455" s="310"/>
      <c r="G455" s="318"/>
      <c r="H455" s="319"/>
    </row>
    <row r="456" spans="1:8" ht="15" customHeight="1" x14ac:dyDescent="0.3">
      <c r="A456" s="133"/>
      <c r="B456" s="131">
        <f t="shared" si="15"/>
        <v>452</v>
      </c>
      <c r="C456" s="129">
        <f t="shared" si="14"/>
        <v>0</v>
      </c>
      <c r="D456" s="107"/>
      <c r="E456" s="317"/>
      <c r="F456" s="310"/>
      <c r="G456" s="318"/>
      <c r="H456" s="319"/>
    </row>
    <row r="457" spans="1:8" ht="15" customHeight="1" x14ac:dyDescent="0.3">
      <c r="A457" s="130" t="s">
        <v>549</v>
      </c>
      <c r="B457" s="131">
        <f t="shared" si="15"/>
        <v>453</v>
      </c>
      <c r="C457" s="129">
        <f t="shared" si="14"/>
        <v>0</v>
      </c>
      <c r="D457" s="107"/>
      <c r="E457" s="317"/>
      <c r="F457" s="310"/>
      <c r="G457" s="318"/>
      <c r="H457" s="319"/>
    </row>
    <row r="458" spans="1:8" ht="15" customHeight="1" x14ac:dyDescent="0.3">
      <c r="A458" s="133" t="s">
        <v>705</v>
      </c>
      <c r="B458" s="131">
        <f t="shared" si="15"/>
        <v>454</v>
      </c>
      <c r="C458" s="129" t="str">
        <f t="shared" si="14"/>
        <v>Nessuna attuazione senza il programma</v>
      </c>
      <c r="D458" s="107"/>
      <c r="E458" s="317"/>
      <c r="F458" s="310" t="s">
        <v>420</v>
      </c>
      <c r="G458" s="318" t="s">
        <v>786</v>
      </c>
      <c r="H458" s="319" t="s">
        <v>1239</v>
      </c>
    </row>
    <row r="459" spans="1:8" ht="15" customHeight="1" x14ac:dyDescent="0.3">
      <c r="A459" s="133" t="s">
        <v>637</v>
      </c>
      <c r="B459" s="131">
        <f t="shared" si="15"/>
        <v>455</v>
      </c>
      <c r="C459" s="129" t="str">
        <f t="shared" si="14"/>
        <v>Perché il programma e/o le misure non vengono attuati senza aggiudicazione?</v>
      </c>
      <c r="D459" s="107"/>
      <c r="E459" s="317"/>
      <c r="F459" s="310" t="s">
        <v>495</v>
      </c>
      <c r="G459" s="318" t="s">
        <v>815</v>
      </c>
      <c r="H459" s="319" t="s">
        <v>1240</v>
      </c>
    </row>
    <row r="460" spans="1:8" ht="15" customHeight="1" x14ac:dyDescent="0.3">
      <c r="A460" s="133" t="s">
        <v>707</v>
      </c>
      <c r="B460" s="131">
        <f t="shared" si="15"/>
        <v>456</v>
      </c>
      <c r="C460" s="129" t="str">
        <f t="shared" si="14"/>
        <v>Addizionalità del programma</v>
      </c>
      <c r="D460" s="107"/>
      <c r="E460" s="317"/>
      <c r="F460" s="310" t="s">
        <v>421</v>
      </c>
      <c r="G460" s="318" t="s">
        <v>787</v>
      </c>
      <c r="H460" s="319" t="s">
        <v>1241</v>
      </c>
    </row>
    <row r="461" spans="1:8" ht="15" customHeight="1" x14ac:dyDescent="0.3">
      <c r="A461" s="133" t="s">
        <v>708</v>
      </c>
      <c r="B461" s="131">
        <f t="shared" si="15"/>
        <v>457</v>
      </c>
      <c r="C461" s="129" t="str">
        <f t="shared" si="14"/>
        <v xml:space="preserve">Qual è l'influsso del contributo finanziario sul programma e in che modo viene evitata un'eventuale eliminazione dei mezzi dei programmi esistenti? </v>
      </c>
      <c r="D461" s="107"/>
      <c r="E461" s="317"/>
      <c r="F461" s="310" t="s">
        <v>496</v>
      </c>
      <c r="G461" s="318" t="s">
        <v>14</v>
      </c>
      <c r="H461" s="319" t="s">
        <v>1242</v>
      </c>
    </row>
    <row r="462" spans="1:8" ht="15" customHeight="1" x14ac:dyDescent="0.3">
      <c r="A462" s="133" t="s">
        <v>711</v>
      </c>
      <c r="B462" s="131">
        <f t="shared" si="15"/>
        <v>458</v>
      </c>
      <c r="C462" s="129" t="str">
        <f t="shared" si="14"/>
        <v>Addizionalità delle misure di efficienza</v>
      </c>
      <c r="D462" s="107"/>
      <c r="E462" s="317"/>
      <c r="F462" s="310" t="s">
        <v>422</v>
      </c>
      <c r="G462" s="318" t="s">
        <v>788</v>
      </c>
      <c r="H462" s="319" t="s">
        <v>1243</v>
      </c>
    </row>
    <row r="463" spans="1:8" ht="15" customHeight="1" x14ac:dyDescent="0.3">
      <c r="A463" s="133" t="s">
        <v>721</v>
      </c>
      <c r="B463" s="131">
        <f t="shared" si="15"/>
        <v>459</v>
      </c>
      <c r="C463" s="129" t="str">
        <f t="shared" si="14"/>
        <v>Quale connessione c'è tra le barriere e le prestazioni proposte dal programma?</v>
      </c>
      <c r="D463" s="107"/>
      <c r="E463" s="317"/>
      <c r="F463" s="310" t="s">
        <v>497</v>
      </c>
      <c r="G463" s="318" t="s">
        <v>823</v>
      </c>
      <c r="H463" s="319" t="s">
        <v>1244</v>
      </c>
    </row>
    <row r="464" spans="1:8" ht="15" customHeight="1" x14ac:dyDescent="0.3">
      <c r="A464" s="133" t="s">
        <v>729</v>
      </c>
      <c r="B464" s="131">
        <f t="shared" si="15"/>
        <v>460</v>
      </c>
      <c r="C464" s="129" t="str">
        <f t="shared" si="14"/>
        <v>Produrre la dimostrazione che senza l'aggiudicazione delle gare pubbliche il programma non può essere attuato o non può essere attuato nella stessa misura.</v>
      </c>
      <c r="D464" s="107"/>
      <c r="E464" s="317"/>
      <c r="F464" s="310" t="s">
        <v>423</v>
      </c>
      <c r="G464" s="318" t="s">
        <v>164</v>
      </c>
      <c r="H464" s="319" t="s">
        <v>1245</v>
      </c>
    </row>
    <row r="465" spans="1:8" ht="15" customHeight="1" x14ac:dyDescent="0.3">
      <c r="A465" s="133" t="s">
        <v>724</v>
      </c>
      <c r="B465" s="131">
        <f t="shared" si="15"/>
        <v>461</v>
      </c>
      <c r="C465" s="129" t="str">
        <f t="shared" si="14"/>
        <v>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v>
      </c>
      <c r="D465" s="107"/>
      <c r="E465" s="317"/>
      <c r="F465" s="310" t="s">
        <v>424</v>
      </c>
      <c r="G465" s="318" t="s">
        <v>15</v>
      </c>
      <c r="H465" s="319" t="s">
        <v>1246</v>
      </c>
    </row>
    <row r="466" spans="1:8" ht="15" customHeight="1" x14ac:dyDescent="0.3">
      <c r="A466" s="133" t="s">
        <v>738</v>
      </c>
      <c r="B466" s="131">
        <f t="shared" si="15"/>
        <v>462</v>
      </c>
      <c r="C466" s="129" t="str">
        <f t="shared" si="14"/>
        <v xml:space="preserve">Esposizione delle connessioni tra le barriere esistenti e le misure proposte nel programma. Le barriere fatte valere devono essere descritte e motivate.
È necessario esporre quale parte dei gruppi target è interessata dalle barriere. </v>
      </c>
      <c r="D466" s="107"/>
      <c r="E466" s="317"/>
      <c r="F466" s="310" t="s">
        <v>425</v>
      </c>
      <c r="G466" s="318" t="s">
        <v>165</v>
      </c>
      <c r="H466" s="319" t="s">
        <v>1247</v>
      </c>
    </row>
    <row r="467" spans="1:8" ht="15" customHeight="1" x14ac:dyDescent="0.3">
      <c r="A467" s="133"/>
      <c r="B467" s="131">
        <f t="shared" si="15"/>
        <v>463</v>
      </c>
      <c r="C467" s="129">
        <f t="shared" si="14"/>
        <v>0</v>
      </c>
      <c r="D467" s="107"/>
      <c r="E467" s="317"/>
      <c r="F467" s="310"/>
      <c r="G467" s="318"/>
      <c r="H467" s="319"/>
    </row>
    <row r="468" spans="1:8" ht="15" customHeight="1" x14ac:dyDescent="0.3">
      <c r="A468" s="133"/>
      <c r="B468" s="131">
        <f t="shared" si="15"/>
        <v>464</v>
      </c>
      <c r="C468" s="129">
        <f t="shared" si="14"/>
        <v>0</v>
      </c>
      <c r="D468" s="107"/>
      <c r="E468" s="317"/>
      <c r="F468" s="310"/>
      <c r="G468" s="318"/>
      <c r="H468" s="319"/>
    </row>
    <row r="469" spans="1:8" ht="15" customHeight="1" x14ac:dyDescent="0.3">
      <c r="A469" s="130" t="s">
        <v>632</v>
      </c>
      <c r="B469" s="131">
        <f t="shared" si="15"/>
        <v>465</v>
      </c>
      <c r="C469" s="129">
        <f t="shared" si="14"/>
        <v>0</v>
      </c>
      <c r="D469" s="107"/>
      <c r="E469" s="317"/>
      <c r="F469" s="310"/>
      <c r="G469" s="318"/>
      <c r="H469" s="319"/>
    </row>
    <row r="470" spans="1:8" ht="15" customHeight="1" x14ac:dyDescent="0.3">
      <c r="A470" s="133" t="s">
        <v>705</v>
      </c>
      <c r="B470" s="131">
        <f t="shared" si="15"/>
        <v>466</v>
      </c>
      <c r="C470" s="129" t="str">
        <f t="shared" si="14"/>
        <v>Consenso</v>
      </c>
      <c r="D470" s="107"/>
      <c r="E470" s="317"/>
      <c r="F470" s="310" t="s">
        <v>426</v>
      </c>
      <c r="G470" s="318" t="s">
        <v>66</v>
      </c>
      <c r="H470" s="319" t="s">
        <v>1248</v>
      </c>
    </row>
    <row r="471" spans="1:8" ht="15" customHeight="1" x14ac:dyDescent="0.3">
      <c r="A471" s="133" t="s">
        <v>637</v>
      </c>
      <c r="B471" s="131">
        <f t="shared" si="15"/>
        <v>467</v>
      </c>
      <c r="C471" s="129" t="str">
        <f t="shared" si="14"/>
        <v>Il richiedente conferma con un SÌ e con una firma legalmente valida di avere letto e accettato les  «Condizioni per la presentazione di progetti e programmi 2020».</v>
      </c>
      <c r="D471" s="107"/>
      <c r="E471" s="317"/>
      <c r="F471" s="310" t="s">
        <v>1936</v>
      </c>
      <c r="G471" s="318" t="s">
        <v>1937</v>
      </c>
      <c r="H471" s="319" t="s">
        <v>1938</v>
      </c>
    </row>
    <row r="472" spans="1:8" ht="15" customHeight="1" x14ac:dyDescent="0.3">
      <c r="A472" s="133" t="s">
        <v>707</v>
      </c>
      <c r="B472" s="131">
        <f t="shared" si="15"/>
        <v>468</v>
      </c>
      <c r="C472" s="129" t="str">
        <f t="shared" si="14"/>
        <v>Correttezza, completezza e verificabilità dei dati</v>
      </c>
      <c r="D472" s="107"/>
      <c r="E472" s="317"/>
      <c r="F472" s="310" t="s">
        <v>427</v>
      </c>
      <c r="G472" s="318" t="s">
        <v>67</v>
      </c>
      <c r="H472" s="319" t="s">
        <v>1249</v>
      </c>
    </row>
    <row r="473" spans="1:8" ht="15" customHeight="1" x14ac:dyDescent="0.3">
      <c r="A473" s="133" t="s">
        <v>708</v>
      </c>
      <c r="B473" s="131">
        <f t="shared" si="15"/>
        <v>469</v>
      </c>
      <c r="C473" s="129" t="str">
        <f t="shared" si="14"/>
        <v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v>
      </c>
      <c r="D473" s="107"/>
      <c r="E473" s="317"/>
      <c r="F473" s="310" t="s">
        <v>428</v>
      </c>
      <c r="G473" s="318" t="s">
        <v>789</v>
      </c>
      <c r="H473" s="319" t="s">
        <v>1250</v>
      </c>
    </row>
    <row r="474" spans="1:8" ht="15" customHeight="1" x14ac:dyDescent="0.3">
      <c r="A474" s="133" t="s">
        <v>712</v>
      </c>
      <c r="B474" s="131">
        <f t="shared" si="15"/>
        <v>470</v>
      </c>
      <c r="C474" s="129" t="str">
        <f t="shared" si="14"/>
        <v>Firma</v>
      </c>
      <c r="D474" s="107"/>
      <c r="E474" s="317"/>
      <c r="F474" s="310" t="s">
        <v>429</v>
      </c>
      <c r="G474" s="318" t="s">
        <v>68</v>
      </c>
      <c r="H474" s="319" t="s">
        <v>1251</v>
      </c>
    </row>
    <row r="475" spans="1:8" ht="15" customHeight="1" x14ac:dyDescent="0.3">
      <c r="A475" s="133" t="s">
        <v>713</v>
      </c>
      <c r="B475" s="131">
        <f t="shared" si="15"/>
        <v>471</v>
      </c>
      <c r="C475" s="129" t="str">
        <f t="shared" si="14"/>
        <v>Luogo, data</v>
      </c>
      <c r="D475" s="107"/>
      <c r="E475" s="317"/>
      <c r="F475" s="310" t="s">
        <v>430</v>
      </c>
      <c r="G475" s="318" t="s">
        <v>69</v>
      </c>
      <c r="H475" s="319" t="s">
        <v>1252</v>
      </c>
    </row>
    <row r="476" spans="1:8" ht="15" customHeight="1" x14ac:dyDescent="0.3">
      <c r="A476" s="133" t="s">
        <v>718</v>
      </c>
      <c r="B476" s="131">
        <f t="shared" si="15"/>
        <v>472</v>
      </c>
      <c r="C476" s="129" t="str">
        <f t="shared" si="14"/>
        <v>Firma(e) legalmente valida(e) del richiedente</v>
      </c>
      <c r="D476" s="107"/>
      <c r="E476" s="317"/>
      <c r="F476" s="310" t="s">
        <v>431</v>
      </c>
      <c r="G476" s="318" t="s">
        <v>70</v>
      </c>
      <c r="H476" s="319" t="s">
        <v>1253</v>
      </c>
    </row>
    <row r="477" spans="1:8" ht="15" customHeight="1" x14ac:dyDescent="0.3">
      <c r="A477" s="133" t="s">
        <v>729</v>
      </c>
      <c r="B477" s="131">
        <f t="shared" si="15"/>
        <v>473</v>
      </c>
      <c r="C477" s="129" t="str">
        <f t="shared" si="14"/>
        <v xml:space="preserve">La gara e le condizioni per la presentazione di progetti e programmi 2020 vincolante possono essere scaricate sul sito www.prokw.ch. </v>
      </c>
      <c r="D477" s="107"/>
      <c r="E477" s="317"/>
      <c r="F477" s="310" t="s">
        <v>1933</v>
      </c>
      <c r="G477" s="318" t="s">
        <v>1934</v>
      </c>
      <c r="H477" s="319" t="s">
        <v>1935</v>
      </c>
    </row>
    <row r="478" spans="1:8" ht="15" customHeight="1" x14ac:dyDescent="0.3">
      <c r="A478" s="133"/>
      <c r="B478" s="131">
        <f t="shared" si="15"/>
        <v>474</v>
      </c>
      <c r="C478" s="129">
        <f t="shared" si="14"/>
        <v>0</v>
      </c>
      <c r="D478" s="107"/>
      <c r="E478" s="317"/>
      <c r="F478" s="310"/>
      <c r="G478" s="318"/>
      <c r="H478" s="319"/>
    </row>
    <row r="479" spans="1:8" ht="15" customHeight="1" x14ac:dyDescent="0.3">
      <c r="A479" s="133"/>
      <c r="B479" s="131">
        <f t="shared" si="15"/>
        <v>475</v>
      </c>
      <c r="C479" s="129">
        <f t="shared" si="14"/>
        <v>0</v>
      </c>
      <c r="D479" s="107"/>
      <c r="E479" s="317"/>
      <c r="F479" s="310"/>
      <c r="G479" s="318"/>
      <c r="H479" s="319"/>
    </row>
    <row r="480" spans="1:8" ht="15" customHeight="1" x14ac:dyDescent="0.3">
      <c r="A480" s="130" t="s">
        <v>599</v>
      </c>
      <c r="B480" s="131">
        <f t="shared" si="15"/>
        <v>476</v>
      </c>
      <c r="C480" s="129">
        <f t="shared" si="14"/>
        <v>0</v>
      </c>
      <c r="D480" s="107"/>
      <c r="E480" s="317"/>
      <c r="F480" s="310"/>
      <c r="G480" s="318"/>
      <c r="H480" s="319"/>
    </row>
    <row r="481" spans="1:8" ht="15" customHeight="1" x14ac:dyDescent="0.3">
      <c r="A481" s="133" t="s">
        <v>705</v>
      </c>
      <c r="B481" s="131">
        <f t="shared" si="15"/>
        <v>477</v>
      </c>
      <c r="C481" s="129" t="str">
        <f t="shared" si="14"/>
        <v>Allegati</v>
      </c>
      <c r="D481" s="107"/>
      <c r="E481" s="317"/>
      <c r="F481" s="310" t="s">
        <v>432</v>
      </c>
      <c r="G481" s="318" t="s">
        <v>102</v>
      </c>
      <c r="H481" s="319" t="s">
        <v>1254</v>
      </c>
    </row>
    <row r="482" spans="1:8" ht="15" customHeight="1" x14ac:dyDescent="0.3">
      <c r="A482" s="133" t="s">
        <v>637</v>
      </c>
      <c r="B482" s="131">
        <f t="shared" si="15"/>
        <v>478</v>
      </c>
      <c r="C482" s="129" t="str">
        <f t="shared" si="14"/>
        <v>Allegato 1</v>
      </c>
      <c r="D482" s="107"/>
      <c r="E482" s="317"/>
      <c r="F482" s="310" t="s">
        <v>433</v>
      </c>
      <c r="G482" s="318" t="s">
        <v>48</v>
      </c>
      <c r="H482" s="319" t="s">
        <v>1255</v>
      </c>
    </row>
    <row r="483" spans="1:8" ht="15" customHeight="1" x14ac:dyDescent="0.3">
      <c r="A483" s="133" t="s">
        <v>707</v>
      </c>
      <c r="B483" s="131">
        <f t="shared" si="15"/>
        <v>479</v>
      </c>
      <c r="C483" s="129" t="str">
        <f t="shared" si="14"/>
        <v>Allegato 2</v>
      </c>
      <c r="D483" s="107"/>
      <c r="E483" s="317"/>
      <c r="F483" s="310" t="s">
        <v>434</v>
      </c>
      <c r="G483" s="318" t="s">
        <v>49</v>
      </c>
      <c r="H483" s="319" t="s">
        <v>1256</v>
      </c>
    </row>
    <row r="484" spans="1:8" ht="15" customHeight="1" x14ac:dyDescent="0.3">
      <c r="A484" s="133" t="s">
        <v>709</v>
      </c>
      <c r="B484" s="131">
        <f t="shared" si="15"/>
        <v>480</v>
      </c>
      <c r="C484" s="129" t="str">
        <f t="shared" si="14"/>
        <v>Allegato 3</v>
      </c>
      <c r="D484" s="107"/>
      <c r="E484" s="317"/>
      <c r="F484" s="310" t="s">
        <v>435</v>
      </c>
      <c r="G484" s="318" t="s">
        <v>50</v>
      </c>
      <c r="H484" s="319" t="s">
        <v>1257</v>
      </c>
    </row>
    <row r="485" spans="1:8" ht="15" customHeight="1" x14ac:dyDescent="0.3">
      <c r="A485" s="133" t="s">
        <v>721</v>
      </c>
      <c r="B485" s="131">
        <f t="shared" si="15"/>
        <v>481</v>
      </c>
      <c r="C485" s="129" t="str">
        <f t="shared" si="14"/>
        <v>Allegato 4</v>
      </c>
      <c r="D485" s="107"/>
      <c r="E485" s="317"/>
      <c r="F485" s="310" t="s">
        <v>436</v>
      </c>
      <c r="G485" s="318" t="s">
        <v>51</v>
      </c>
      <c r="H485" s="319" t="s">
        <v>1258</v>
      </c>
    </row>
    <row r="486" spans="1:8" ht="15" customHeight="1" x14ac:dyDescent="0.3">
      <c r="A486" s="133" t="s">
        <v>713</v>
      </c>
      <c r="B486" s="131">
        <f t="shared" si="15"/>
        <v>482</v>
      </c>
      <c r="C486" s="129" t="str">
        <f t="shared" si="14"/>
        <v>Allegato 5</v>
      </c>
      <c r="D486" s="107"/>
      <c r="E486" s="317"/>
      <c r="F486" s="310" t="s">
        <v>437</v>
      </c>
      <c r="G486" s="318" t="s">
        <v>52</v>
      </c>
      <c r="H486" s="319" t="s">
        <v>1259</v>
      </c>
    </row>
    <row r="487" spans="1:8" ht="15" customHeight="1" x14ac:dyDescent="0.3">
      <c r="A487" s="133" t="s">
        <v>716</v>
      </c>
      <c r="B487" s="131">
        <f t="shared" si="15"/>
        <v>483</v>
      </c>
      <c r="C487" s="129" t="str">
        <f t="shared" si="14"/>
        <v>Allegato 6</v>
      </c>
      <c r="D487" s="107"/>
      <c r="E487" s="317"/>
      <c r="F487" s="310" t="s">
        <v>438</v>
      </c>
      <c r="G487" s="318" t="s">
        <v>53</v>
      </c>
      <c r="H487" s="319" t="s">
        <v>1260</v>
      </c>
    </row>
    <row r="488" spans="1:8" ht="15" customHeight="1" x14ac:dyDescent="0.3">
      <c r="A488" s="133" t="s">
        <v>701</v>
      </c>
      <c r="B488" s="131">
        <f t="shared" si="15"/>
        <v>484</v>
      </c>
      <c r="C488" s="129" t="str">
        <f t="shared" si="14"/>
        <v>Allegato 7</v>
      </c>
      <c r="D488" s="107"/>
      <c r="E488" s="317"/>
      <c r="F488" s="310" t="s">
        <v>439</v>
      </c>
      <c r="G488" s="318" t="s">
        <v>54</v>
      </c>
      <c r="H488" s="319" t="s">
        <v>1261</v>
      </c>
    </row>
    <row r="489" spans="1:8" ht="15" customHeight="1" x14ac:dyDescent="0.3">
      <c r="A489" s="133" t="s">
        <v>702</v>
      </c>
      <c r="B489" s="131">
        <f t="shared" si="15"/>
        <v>485</v>
      </c>
      <c r="C489" s="129" t="str">
        <f t="shared" si="14"/>
        <v>Allegato 8</v>
      </c>
      <c r="D489" s="107"/>
      <c r="E489" s="317"/>
      <c r="F489" s="310" t="s">
        <v>440</v>
      </c>
      <c r="G489" s="318" t="s">
        <v>55</v>
      </c>
      <c r="H489" s="319" t="s">
        <v>1262</v>
      </c>
    </row>
    <row r="490" spans="1:8" ht="15" customHeight="1" x14ac:dyDescent="0.3">
      <c r="A490" s="133" t="s">
        <v>652</v>
      </c>
      <c r="B490" s="131">
        <f t="shared" si="15"/>
        <v>486</v>
      </c>
      <c r="C490" s="129" t="str">
        <f t="shared" si="14"/>
        <v>Allegato 9</v>
      </c>
      <c r="D490" s="107"/>
      <c r="E490" s="317"/>
      <c r="F490" s="310" t="s">
        <v>441</v>
      </c>
      <c r="G490" s="318" t="s">
        <v>56</v>
      </c>
      <c r="H490" s="319" t="s">
        <v>1263</v>
      </c>
    </row>
    <row r="491" spans="1:8" ht="15" customHeight="1" x14ac:dyDescent="0.3">
      <c r="A491" s="133" t="s">
        <v>704</v>
      </c>
      <c r="B491" s="131">
        <f t="shared" si="15"/>
        <v>487</v>
      </c>
      <c r="C491" s="129" t="str">
        <f t="shared" si="14"/>
        <v>Allegato 10</v>
      </c>
      <c r="D491" s="107"/>
      <c r="E491" s="317"/>
      <c r="F491" s="310" t="s">
        <v>442</v>
      </c>
      <c r="G491" s="318" t="s">
        <v>57</v>
      </c>
      <c r="H491" s="319" t="s">
        <v>1264</v>
      </c>
    </row>
    <row r="492" spans="1:8" ht="15" customHeight="1" x14ac:dyDescent="0.3">
      <c r="A492" s="133" t="s">
        <v>730</v>
      </c>
      <c r="B492" s="131">
        <f t="shared" si="15"/>
        <v>488</v>
      </c>
      <c r="C492" s="129" t="str">
        <f t="shared" si="14"/>
        <v>Descrizione del programma</v>
      </c>
      <c r="D492" s="107"/>
      <c r="E492" s="317"/>
      <c r="F492" s="310" t="s">
        <v>263</v>
      </c>
      <c r="G492" s="318" t="s">
        <v>101</v>
      </c>
      <c r="H492" s="319" t="s">
        <v>1265</v>
      </c>
    </row>
    <row r="493" spans="1:8" ht="15" customHeight="1" x14ac:dyDescent="0.3">
      <c r="A493" s="133" t="s">
        <v>729</v>
      </c>
      <c r="B493" s="131">
        <f t="shared" si="15"/>
        <v>489</v>
      </c>
      <c r="C493" s="129" t="str">
        <f t="shared" si="14"/>
        <v>Titolo dell'allegato</v>
      </c>
      <c r="D493" s="107"/>
      <c r="E493" s="317"/>
      <c r="F493" s="310" t="s">
        <v>443</v>
      </c>
      <c r="G493" s="318" t="s">
        <v>104</v>
      </c>
      <c r="H493" s="319" t="s">
        <v>1266</v>
      </c>
    </row>
    <row r="494" spans="1:8" ht="15" customHeight="1" x14ac:dyDescent="0.3">
      <c r="A494" s="133" t="s">
        <v>722</v>
      </c>
      <c r="B494" s="131">
        <f t="shared" si="15"/>
        <v>490</v>
      </c>
      <c r="C494" s="129" t="str">
        <f t="shared" si="14"/>
        <v>Breve descrizione del contenuto dell'allegato</v>
      </c>
      <c r="D494" s="107"/>
      <c r="E494" s="317"/>
      <c r="F494" s="310" t="s">
        <v>444</v>
      </c>
      <c r="G494" s="318" t="s">
        <v>105</v>
      </c>
      <c r="H494" s="319" t="s">
        <v>1267</v>
      </c>
    </row>
    <row r="495" spans="1:8" ht="15" customHeight="1" x14ac:dyDescent="0.3">
      <c r="A495" s="133"/>
      <c r="B495" s="131">
        <f t="shared" si="15"/>
        <v>491</v>
      </c>
      <c r="C495" s="129">
        <f t="shared" si="14"/>
        <v>0</v>
      </c>
      <c r="D495" s="107"/>
      <c r="E495" s="317"/>
      <c r="F495" s="310"/>
      <c r="G495" s="318"/>
      <c r="H495" s="319"/>
    </row>
    <row r="496" spans="1:8" ht="15" customHeight="1" x14ac:dyDescent="0.3">
      <c r="A496" s="130" t="s">
        <v>106</v>
      </c>
      <c r="B496" s="131">
        <f t="shared" si="15"/>
        <v>492</v>
      </c>
      <c r="C496" s="129">
        <f t="shared" si="14"/>
        <v>0</v>
      </c>
      <c r="D496" s="107"/>
      <c r="E496" s="317"/>
      <c r="F496" s="310"/>
      <c r="G496" s="318"/>
      <c r="H496" s="319"/>
    </row>
    <row r="497" spans="1:8" ht="15" customHeight="1" x14ac:dyDescent="0.3">
      <c r="A497" s="133" t="s">
        <v>705</v>
      </c>
      <c r="B497" s="131">
        <f t="shared" si="15"/>
        <v>493</v>
      </c>
      <c r="C497" s="129" t="str">
        <f t="shared" si="14"/>
        <v>Osservazioni sulla proposta</v>
      </c>
      <c r="D497" s="107"/>
      <c r="E497" s="317"/>
      <c r="F497" s="310" t="s">
        <v>445</v>
      </c>
      <c r="G497" s="318" t="s">
        <v>818</v>
      </c>
      <c r="H497" s="319" t="s">
        <v>1268</v>
      </c>
    </row>
    <row r="498" spans="1:8" ht="15" customHeight="1" x14ac:dyDescent="0.3">
      <c r="A498" s="133" t="s">
        <v>707</v>
      </c>
      <c r="B498" s="131">
        <f t="shared" si="15"/>
        <v>494</v>
      </c>
      <c r="C498" s="129" t="str">
        <f t="shared" si="14"/>
        <v>Suggerimenti relativi alla documentazione del bando di gara</v>
      </c>
      <c r="D498" s="107"/>
      <c r="E498" s="317"/>
      <c r="F498" s="310" t="s">
        <v>446</v>
      </c>
      <c r="G498" s="318" t="s">
        <v>817</v>
      </c>
      <c r="H498" s="319" t="s">
        <v>1269</v>
      </c>
    </row>
    <row r="499" spans="1:8" ht="15" customHeight="1" x14ac:dyDescent="0.3">
      <c r="A499" s="133"/>
      <c r="B499" s="131">
        <f t="shared" si="15"/>
        <v>495</v>
      </c>
      <c r="C499" s="129">
        <f t="shared" si="14"/>
        <v>0</v>
      </c>
      <c r="D499" s="107"/>
      <c r="E499" s="317"/>
      <c r="F499" s="312"/>
      <c r="G499" s="324"/>
      <c r="H499" s="325"/>
    </row>
    <row r="500" spans="1:8" ht="15" customHeight="1" x14ac:dyDescent="0.3">
      <c r="A500" s="133"/>
      <c r="B500" s="131">
        <f t="shared" si="15"/>
        <v>496</v>
      </c>
      <c r="C500" s="129" t="str">
        <f t="shared" si="14"/>
        <v>Stima del totale degli investimenti indotti dal programma</v>
      </c>
      <c r="D500" s="107"/>
      <c r="E500" s="317"/>
      <c r="F500" s="310" t="s">
        <v>1272</v>
      </c>
      <c r="G500" s="318" t="s">
        <v>1273</v>
      </c>
      <c r="H500" s="319" t="s">
        <v>1274</v>
      </c>
    </row>
    <row r="501" spans="1:8" ht="15" customHeight="1" x14ac:dyDescent="0.3">
      <c r="A501" s="133"/>
      <c r="B501" s="131">
        <f t="shared" si="15"/>
        <v>497</v>
      </c>
      <c r="C501" s="129" t="str">
        <f t="shared" si="14"/>
        <v>Attenzione, un’ulteriore cambiamento della scelta della lingua può provocare degli errori nelle checkbox nel documento.</v>
      </c>
      <c r="D501" s="107"/>
      <c r="E501" s="317"/>
      <c r="F501" s="310" t="s">
        <v>1335</v>
      </c>
      <c r="G501" s="318" t="s">
        <v>1330</v>
      </c>
      <c r="H501" s="319" t="s">
        <v>1331</v>
      </c>
    </row>
    <row r="502" spans="1:8" ht="15" customHeight="1" x14ac:dyDescent="0.3">
      <c r="A502" s="133"/>
      <c r="B502" s="131">
        <f t="shared" si="15"/>
        <v>498</v>
      </c>
      <c r="C502" s="129" t="str">
        <f t="shared" si="14"/>
        <v>Ultima verificazione prima della stampa, rispettivamente l’invio della domanda:</v>
      </c>
      <c r="D502" s="107"/>
      <c r="E502" s="317"/>
      <c r="F502" s="310" t="s">
        <v>1341</v>
      </c>
      <c r="G502" s="318" t="s">
        <v>1334</v>
      </c>
      <c r="H502" s="319" t="s">
        <v>1344</v>
      </c>
    </row>
    <row r="503" spans="1:8" ht="15" customHeight="1" x14ac:dyDescent="0.3">
      <c r="A503" s="133"/>
      <c r="B503" s="131">
        <f t="shared" si="15"/>
        <v>499</v>
      </c>
      <c r="C503" s="129" t="str">
        <f t="shared" si="14"/>
        <v>- Nessuna cellula del modulo di domanda deve essere rossa !</v>
      </c>
      <c r="D503" s="107"/>
      <c r="E503" s="317"/>
      <c r="F503" s="309" t="s">
        <v>1342</v>
      </c>
      <c r="G503" s="318" t="s">
        <v>1337</v>
      </c>
      <c r="H503" s="326" t="s">
        <v>1345</v>
      </c>
    </row>
    <row r="504" spans="1:8" ht="15" customHeight="1" x14ac:dyDescent="0.3">
      <c r="A504" s="133"/>
      <c r="B504" s="131">
        <f t="shared" si="15"/>
        <v>500</v>
      </c>
      <c r="C504" s="129" t="str">
        <f t="shared" si="14"/>
        <v>- La prova del risparmio di elettricità nel documento consegnato, è : disponibile, preciso, comprensibile e trasparente.</v>
      </c>
      <c r="D504" s="107"/>
      <c r="E504" s="317"/>
      <c r="F504" s="309" t="s">
        <v>1343</v>
      </c>
      <c r="G504" s="318" t="s">
        <v>1338</v>
      </c>
      <c r="H504" s="326" t="s">
        <v>1346</v>
      </c>
    </row>
    <row r="505" spans="1:8" ht="15" customHeight="1" x14ac:dyDescent="0.3">
      <c r="A505" s="133"/>
      <c r="B505" s="131">
        <f t="shared" si="15"/>
        <v>501</v>
      </c>
      <c r="C505" s="129">
        <f t="shared" si="14"/>
        <v>0</v>
      </c>
      <c r="D505" s="107"/>
      <c r="E505" s="317"/>
      <c r="F505" s="309"/>
      <c r="G505" s="318"/>
      <c r="H505" s="326"/>
    </row>
    <row r="506" spans="1:8" ht="15" customHeight="1" x14ac:dyDescent="0.3">
      <c r="A506" s="133"/>
      <c r="B506" s="131">
        <f t="shared" si="15"/>
        <v>502</v>
      </c>
      <c r="C506" s="129" t="str">
        <f t="shared" si="14"/>
        <v>- Il formulario di proposta deve essere compilato in ogni sua parte. La proposta deve essere caricata unitamente al concetto del programma e agli altri documenti sulla portale online e trasmessa all'Organo indipendente ProKilowatt.</v>
      </c>
      <c r="D506" s="107"/>
      <c r="E506" s="317"/>
      <c r="F506" s="309" t="s">
        <v>1559</v>
      </c>
      <c r="G506" s="318" t="s">
        <v>1558</v>
      </c>
      <c r="H506" s="326" t="s">
        <v>1600</v>
      </c>
    </row>
    <row r="507" spans="1:8" ht="15" customHeight="1" x14ac:dyDescent="0.3">
      <c r="A507" s="133"/>
      <c r="B507" s="131">
        <f t="shared" si="15"/>
        <v>503</v>
      </c>
      <c r="C507" s="129" t="str">
        <f t="shared" si="14"/>
        <v>- Il documento stampato è firmato !</v>
      </c>
      <c r="D507" s="107"/>
      <c r="E507" s="317"/>
      <c r="F507" s="309" t="s">
        <v>1336</v>
      </c>
      <c r="G507" s="318" t="s">
        <v>1339</v>
      </c>
      <c r="H507" s="326" t="s">
        <v>1347</v>
      </c>
    </row>
    <row r="508" spans="1:8" ht="15" customHeight="1" x14ac:dyDescent="0.3">
      <c r="A508" s="133"/>
      <c r="B508" s="131">
        <f t="shared" si="15"/>
        <v>504</v>
      </c>
      <c r="C508" s="129" t="str">
        <f t="shared" si="14"/>
        <v>in %</v>
      </c>
      <c r="D508" s="107"/>
      <c r="E508" s="317"/>
      <c r="F508" s="309" t="s">
        <v>1363</v>
      </c>
      <c r="G508" s="318" t="s">
        <v>1348</v>
      </c>
      <c r="H508" s="326" t="s">
        <v>1348</v>
      </c>
    </row>
    <row r="509" spans="1:8" ht="15" customHeight="1" x14ac:dyDescent="0.3">
      <c r="A509" s="133"/>
      <c r="B509" s="131">
        <f t="shared" si="15"/>
        <v>505</v>
      </c>
      <c r="C509" s="129" t="str">
        <f t="shared" si="14"/>
        <v>Il risparmio totale deve corrispondere alla somma del 100%.</v>
      </c>
      <c r="D509" s="107"/>
      <c r="E509" s="317"/>
      <c r="F509" s="309" t="s">
        <v>1365</v>
      </c>
      <c r="G509" s="318" t="s">
        <v>1349</v>
      </c>
      <c r="H509" s="326" t="s">
        <v>1364</v>
      </c>
    </row>
    <row r="510" spans="1:8" ht="15" customHeight="1" x14ac:dyDescent="0.3">
      <c r="A510" s="133"/>
      <c r="B510" s="133"/>
      <c r="C510" s="129">
        <f t="shared" si="14"/>
        <v>0</v>
      </c>
      <c r="D510" s="133"/>
      <c r="E510" s="133"/>
      <c r="F510" s="133"/>
      <c r="G510" s="133"/>
      <c r="H510" s="133"/>
    </row>
    <row r="511" spans="1:8" ht="15" customHeight="1" x14ac:dyDescent="0.3">
      <c r="A511" s="133"/>
      <c r="B511" s="131">
        <f t="shared" si="15"/>
        <v>1</v>
      </c>
      <c r="C511" s="129" t="str">
        <f t="shared" si="14"/>
        <v>Stato budget</v>
      </c>
      <c r="D511" s="107"/>
      <c r="E511" s="317"/>
      <c r="F511" s="309" t="s">
        <v>1465</v>
      </c>
      <c r="G511" s="318" t="s">
        <v>1383</v>
      </c>
      <c r="H511" s="326" t="s">
        <v>1503</v>
      </c>
    </row>
    <row r="512" spans="1:8" ht="15" customHeight="1" x14ac:dyDescent="0.3">
      <c r="A512" s="133"/>
      <c r="B512" s="131">
        <f t="shared" si="15"/>
        <v>2</v>
      </c>
      <c r="C512" s="129" t="str">
        <f t="shared" si="14"/>
        <v>I costi sono distinti in costi di gestione (amministrazione), costi delle misure di incentivazione complementari e costi delle misure di incentivazione principali destinate ai clienti target. I campi vuoti vengono riempiti con 0 CHF.</v>
      </c>
      <c r="D512" s="107"/>
      <c r="E512" s="317"/>
      <c r="F512" s="309" t="s">
        <v>1551</v>
      </c>
      <c r="G512" s="318" t="s">
        <v>1401</v>
      </c>
      <c r="H512" s="326" t="s">
        <v>1504</v>
      </c>
    </row>
    <row r="513" spans="1:8" ht="15" customHeight="1" x14ac:dyDescent="0.3">
      <c r="A513" s="133"/>
      <c r="B513" s="131">
        <f t="shared" si="15"/>
        <v>3</v>
      </c>
      <c r="C513" s="129" t="str">
        <f t="shared" si="14"/>
        <v>Numero di unità</v>
      </c>
      <c r="D513" s="107"/>
      <c r="E513" s="317"/>
      <c r="F513" s="309" t="s">
        <v>356</v>
      </c>
      <c r="G513" s="318" t="s">
        <v>840</v>
      </c>
      <c r="H513" s="326" t="s">
        <v>1119</v>
      </c>
    </row>
    <row r="514" spans="1:8" ht="15" customHeight="1" x14ac:dyDescent="0.3">
      <c r="A514" s="133"/>
      <c r="B514" s="131">
        <f t="shared" si="15"/>
        <v>4</v>
      </c>
      <c r="C514" s="129" t="str">
        <f t="shared" si="14"/>
        <v>Costo / unità</v>
      </c>
      <c r="D514" s="107"/>
      <c r="E514" s="317"/>
      <c r="F514" s="309" t="s">
        <v>1466</v>
      </c>
      <c r="G514" s="318" t="s">
        <v>1386</v>
      </c>
      <c r="H514" s="326" t="s">
        <v>1505</v>
      </c>
    </row>
    <row r="515" spans="1:8" ht="15" customHeight="1" x14ac:dyDescent="0.3">
      <c r="A515" s="133"/>
      <c r="B515" s="131">
        <f t="shared" si="15"/>
        <v>5</v>
      </c>
      <c r="C515" s="129" t="str">
        <f t="shared" si="14"/>
        <v>[CHF / unità]</v>
      </c>
      <c r="D515" s="107"/>
      <c r="E515" s="317"/>
      <c r="F515" s="309" t="s">
        <v>1467</v>
      </c>
      <c r="G515" s="318" t="s">
        <v>1374</v>
      </c>
      <c r="H515" s="326" t="s">
        <v>1506</v>
      </c>
    </row>
    <row r="516" spans="1:8" ht="15" customHeight="1" x14ac:dyDescent="0.3">
      <c r="A516" s="133"/>
      <c r="B516" s="131">
        <f t="shared" si="15"/>
        <v>6</v>
      </c>
      <c r="C516" s="129" t="str">
        <f t="shared" si="14"/>
        <v>Costi di gestione (amministrazione)</v>
      </c>
      <c r="D516" s="107"/>
      <c r="E516" s="317"/>
      <c r="F516" s="309" t="s">
        <v>1468</v>
      </c>
      <c r="G516" s="318" t="s">
        <v>1440</v>
      </c>
      <c r="H516" s="326" t="s">
        <v>1507</v>
      </c>
    </row>
    <row r="517" spans="1:8" ht="15" customHeight="1" x14ac:dyDescent="0.3">
      <c r="A517" s="133"/>
      <c r="B517" s="131">
        <f t="shared" si="15"/>
        <v>7</v>
      </c>
      <c r="C517" s="129" t="str">
        <f t="shared" ref="C517:C580" si="16">IF($B$1="f",F517,IF($B$1="d",G517,H517))</f>
        <v>Costo delle misure complementari</v>
      </c>
      <c r="D517" s="107"/>
      <c r="E517" s="317"/>
      <c r="F517" s="309" t="s">
        <v>1469</v>
      </c>
      <c r="G517" s="318" t="s">
        <v>1390</v>
      </c>
      <c r="H517" s="326" t="s">
        <v>1508</v>
      </c>
    </row>
    <row r="518" spans="1:8" ht="15" customHeight="1" x14ac:dyDescent="0.3">
      <c r="A518" s="133"/>
      <c r="B518" s="131">
        <f t="shared" ref="B518:B581" si="17">B517+1</f>
        <v>8</v>
      </c>
      <c r="C518" s="129" t="str">
        <f t="shared" si="16"/>
        <v>Gestione del programma</v>
      </c>
      <c r="D518" s="107"/>
      <c r="E518" s="317"/>
      <c r="F518" s="309" t="s">
        <v>393</v>
      </c>
      <c r="G518" s="318" t="s">
        <v>1391</v>
      </c>
      <c r="H518" s="326" t="s">
        <v>1162</v>
      </c>
    </row>
    <row r="519" spans="1:8" ht="15" customHeight="1" x14ac:dyDescent="0.3">
      <c r="A519" s="133"/>
      <c r="B519" s="131">
        <f t="shared" si="17"/>
        <v>9</v>
      </c>
      <c r="C519" s="129" t="str">
        <f t="shared" si="16"/>
        <v>Spese amministrative generali</v>
      </c>
      <c r="D519" s="107"/>
      <c r="E519" s="317"/>
      <c r="F519" s="309" t="s">
        <v>1549</v>
      </c>
      <c r="G519" s="318" t="s">
        <v>1372</v>
      </c>
      <c r="H519" s="326" t="s">
        <v>1509</v>
      </c>
    </row>
    <row r="520" spans="1:8" ht="15" customHeight="1" x14ac:dyDescent="0.3">
      <c r="A520" s="133"/>
      <c r="B520" s="131">
        <f t="shared" si="17"/>
        <v>10</v>
      </c>
      <c r="C520" s="129" t="str">
        <f t="shared" si="16"/>
        <v>Spese amministrative per le pratiche</v>
      </c>
      <c r="D520" s="107"/>
      <c r="E520" s="317"/>
      <c r="F520" s="309" t="s">
        <v>1470</v>
      </c>
      <c r="G520" s="318" t="s">
        <v>1373</v>
      </c>
      <c r="H520" s="326" t="s">
        <v>1510</v>
      </c>
    </row>
    <row r="521" spans="1:8" ht="15" customHeight="1" x14ac:dyDescent="0.3">
      <c r="A521" s="133"/>
      <c r="B521" s="131">
        <f t="shared" si="17"/>
        <v>11</v>
      </c>
      <c r="C521" s="129" t="str">
        <f t="shared" si="16"/>
        <v>Misure complementari</v>
      </c>
      <c r="D521" s="107"/>
      <c r="E521" s="317"/>
      <c r="F521" s="309" t="s">
        <v>1471</v>
      </c>
      <c r="G521" s="318" t="s">
        <v>1376</v>
      </c>
      <c r="H521" s="326" t="s">
        <v>1511</v>
      </c>
    </row>
    <row r="522" spans="1:8" ht="15" customHeight="1" x14ac:dyDescent="0.3">
      <c r="A522" s="133"/>
      <c r="B522" s="131">
        <f t="shared" si="17"/>
        <v>12</v>
      </c>
      <c r="C522" s="129" t="str">
        <f t="shared" si="16"/>
        <v>Costi di formazione e di perfezionamento</v>
      </c>
      <c r="D522" s="107"/>
      <c r="E522" s="317"/>
      <c r="F522" s="309" t="s">
        <v>1472</v>
      </c>
      <c r="G522" s="318" t="s">
        <v>1387</v>
      </c>
      <c r="H522" s="326" t="s">
        <v>1512</v>
      </c>
    </row>
    <row r="523" spans="1:8" ht="15" customHeight="1" x14ac:dyDescent="0.3">
      <c r="A523" s="133"/>
      <c r="B523" s="131">
        <f t="shared" si="17"/>
        <v>13</v>
      </c>
      <c r="C523" s="129" t="str">
        <f t="shared" si="16"/>
        <v>Consulenza</v>
      </c>
      <c r="D523" s="107"/>
      <c r="E523" s="317"/>
      <c r="F523" s="309" t="s">
        <v>1473</v>
      </c>
      <c r="G523" s="318" t="s">
        <v>1402</v>
      </c>
      <c r="H523" s="326" t="s">
        <v>1513</v>
      </c>
    </row>
    <row r="524" spans="1:8" ht="15" customHeight="1" x14ac:dyDescent="0.3">
      <c r="A524" s="133"/>
      <c r="B524" s="131">
        <f t="shared" si="17"/>
        <v>14</v>
      </c>
      <c r="C524" s="129" t="str">
        <f t="shared" si="16"/>
        <v>Messa a disposizione di strumenti di immissione, ecc.</v>
      </c>
      <c r="D524" s="107"/>
      <c r="E524" s="317"/>
      <c r="F524" s="309" t="s">
        <v>1550</v>
      </c>
      <c r="G524" s="318" t="s">
        <v>1388</v>
      </c>
      <c r="H524" s="326" t="s">
        <v>1514</v>
      </c>
    </row>
    <row r="525" spans="1:8" ht="15" customHeight="1" x14ac:dyDescent="0.3">
      <c r="A525" s="133"/>
      <c r="B525" s="131">
        <f t="shared" si="17"/>
        <v>15</v>
      </c>
      <c r="C525" s="129" t="str">
        <f t="shared" si="16"/>
        <v>Monitoraggio</v>
      </c>
      <c r="D525" s="107"/>
      <c r="E525" s="317"/>
      <c r="F525" s="309" t="s">
        <v>602</v>
      </c>
      <c r="G525" s="318" t="s">
        <v>602</v>
      </c>
      <c r="H525" s="326" t="s">
        <v>1151</v>
      </c>
    </row>
    <row r="526" spans="1:8" ht="15" customHeight="1" x14ac:dyDescent="0.3">
      <c r="A526" s="133"/>
      <c r="B526" s="131">
        <f t="shared" si="17"/>
        <v>16</v>
      </c>
      <c r="C526" s="129" t="str">
        <f t="shared" si="16"/>
        <v>Misura complementare 6</v>
      </c>
      <c r="D526" s="107"/>
      <c r="E526" s="317"/>
      <c r="F526" s="309" t="s">
        <v>1474</v>
      </c>
      <c r="G526" s="318" t="s">
        <v>1403</v>
      </c>
      <c r="H526" s="326" t="s">
        <v>1515</v>
      </c>
    </row>
    <row r="527" spans="1:8" ht="15" customHeight="1" x14ac:dyDescent="0.3">
      <c r="A527" s="133"/>
      <c r="B527" s="131">
        <f t="shared" si="17"/>
        <v>17</v>
      </c>
      <c r="C527" s="129" t="str">
        <f t="shared" si="16"/>
        <v>Misura complementare 7</v>
      </c>
      <c r="D527" s="107"/>
      <c r="E527" s="317"/>
      <c r="F527" s="309" t="s">
        <v>1475</v>
      </c>
      <c r="G527" s="318" t="s">
        <v>1404</v>
      </c>
      <c r="H527" s="326" t="s">
        <v>1516</v>
      </c>
    </row>
    <row r="528" spans="1:8" ht="15" customHeight="1" x14ac:dyDescent="0.3">
      <c r="A528" s="133"/>
      <c r="B528" s="131">
        <f t="shared" si="17"/>
        <v>18</v>
      </c>
      <c r="C528" s="129" t="str">
        <f t="shared" si="16"/>
        <v>Contributo ProKilowatt / unità</v>
      </c>
      <c r="D528" s="107"/>
      <c r="E528" s="317"/>
      <c r="F528" s="309" t="s">
        <v>1862</v>
      </c>
      <c r="G528" s="318" t="s">
        <v>1863</v>
      </c>
      <c r="H528" s="326" t="s">
        <v>1864</v>
      </c>
    </row>
    <row r="529" spans="1:8" ht="15" customHeight="1" x14ac:dyDescent="0.3">
      <c r="A529" s="133"/>
      <c r="B529" s="131">
        <f t="shared" si="17"/>
        <v>19</v>
      </c>
      <c r="C529" s="129" t="str">
        <f t="shared" si="16"/>
        <v>Costo di investimento totale / unità</v>
      </c>
      <c r="D529" s="107"/>
      <c r="E529" s="317"/>
      <c r="F529" s="309" t="s">
        <v>1476</v>
      </c>
      <c r="G529" s="318" t="s">
        <v>1441</v>
      </c>
      <c r="H529" s="326" t="s">
        <v>1517</v>
      </c>
    </row>
    <row r="530" spans="1:8" ht="15" customHeight="1" x14ac:dyDescent="0.3">
      <c r="A530" s="133"/>
      <c r="B530" s="131">
        <f t="shared" si="17"/>
        <v>20</v>
      </c>
      <c r="C530" s="129" t="str">
        <f t="shared" si="16"/>
        <v>Quota del contributo di incentivazione sull’investimento totale</v>
      </c>
      <c r="D530" s="107"/>
      <c r="E530" s="317"/>
      <c r="F530" s="309" t="s">
        <v>1477</v>
      </c>
      <c r="G530" s="318" t="s">
        <v>1405</v>
      </c>
      <c r="H530" s="326" t="s">
        <v>1518</v>
      </c>
    </row>
    <row r="531" spans="1:8" ht="15" customHeight="1" x14ac:dyDescent="0.3">
      <c r="A531" s="133"/>
      <c r="B531" s="131">
        <f t="shared" si="17"/>
        <v>21</v>
      </c>
      <c r="C531" s="129" t="str">
        <f t="shared" si="16"/>
        <v xml:space="preserve">Misure di incentivazione </v>
      </c>
      <c r="D531" s="107"/>
      <c r="E531" s="317"/>
      <c r="F531" s="309" t="s">
        <v>1478</v>
      </c>
      <c r="G531" s="318" t="s">
        <v>1377</v>
      </c>
      <c r="H531" s="326" t="s">
        <v>1519</v>
      </c>
    </row>
    <row r="532" spans="1:8" ht="15" customHeight="1" x14ac:dyDescent="0.3">
      <c r="A532" s="133"/>
      <c r="B532" s="131">
        <f t="shared" si="17"/>
        <v>22</v>
      </c>
      <c r="C532" s="129" t="str">
        <f t="shared" si="16"/>
        <v>Scrivere la titolo della misura di incentivazione 1</v>
      </c>
      <c r="D532" s="107"/>
      <c r="E532" s="317"/>
      <c r="F532" s="309" t="s">
        <v>1759</v>
      </c>
      <c r="G532" s="318" t="s">
        <v>1767</v>
      </c>
      <c r="H532" s="326" t="s">
        <v>1775</v>
      </c>
    </row>
    <row r="533" spans="1:8" ht="15" customHeight="1" x14ac:dyDescent="0.3">
      <c r="A533" s="133"/>
      <c r="B533" s="131">
        <f t="shared" si="17"/>
        <v>23</v>
      </c>
      <c r="C533" s="129" t="str">
        <f t="shared" si="16"/>
        <v>Scrivere la titolo della misura di incentivazione 2</v>
      </c>
      <c r="D533" s="107"/>
      <c r="E533" s="317"/>
      <c r="F533" s="309" t="s">
        <v>1760</v>
      </c>
      <c r="G533" s="318" t="s">
        <v>1768</v>
      </c>
      <c r="H533" s="326" t="s">
        <v>1776</v>
      </c>
    </row>
    <row r="534" spans="1:8" ht="15" customHeight="1" x14ac:dyDescent="0.3">
      <c r="A534" s="133"/>
      <c r="B534" s="131">
        <f t="shared" si="17"/>
        <v>24</v>
      </c>
      <c r="C534" s="129" t="str">
        <f t="shared" si="16"/>
        <v>Scrivere la titolo della misura di incentivazione 3</v>
      </c>
      <c r="D534" s="107"/>
      <c r="E534" s="317"/>
      <c r="F534" s="309" t="s">
        <v>1761</v>
      </c>
      <c r="G534" s="318" t="s">
        <v>1769</v>
      </c>
      <c r="H534" s="326" t="s">
        <v>1777</v>
      </c>
    </row>
    <row r="535" spans="1:8" ht="15" customHeight="1" x14ac:dyDescent="0.3">
      <c r="A535" s="133"/>
      <c r="B535" s="131">
        <f t="shared" si="17"/>
        <v>25</v>
      </c>
      <c r="C535" s="129" t="str">
        <f t="shared" si="16"/>
        <v>Scrivere la titolo della misura di incentivazione 4</v>
      </c>
      <c r="D535" s="107"/>
      <c r="E535" s="317"/>
      <c r="F535" s="309" t="s">
        <v>1762</v>
      </c>
      <c r="G535" s="318" t="s">
        <v>1770</v>
      </c>
      <c r="H535" s="326" t="s">
        <v>1778</v>
      </c>
    </row>
    <row r="536" spans="1:8" ht="15" customHeight="1" x14ac:dyDescent="0.3">
      <c r="A536" s="133"/>
      <c r="B536" s="131">
        <f t="shared" si="17"/>
        <v>26</v>
      </c>
      <c r="C536" s="129" t="str">
        <f t="shared" si="16"/>
        <v>Scrivere la titolo della misura di incentivazione 5</v>
      </c>
      <c r="D536" s="107"/>
      <c r="E536" s="317"/>
      <c r="F536" s="309" t="s">
        <v>1763</v>
      </c>
      <c r="G536" s="318" t="s">
        <v>1771</v>
      </c>
      <c r="H536" s="326" t="s">
        <v>1779</v>
      </c>
    </row>
    <row r="537" spans="1:8" ht="15" customHeight="1" x14ac:dyDescent="0.3">
      <c r="A537" s="133"/>
      <c r="B537" s="131">
        <f t="shared" si="17"/>
        <v>27</v>
      </c>
      <c r="C537" s="129" t="str">
        <f t="shared" si="16"/>
        <v>Scrivere la titolo della misura di incentivazione 6</v>
      </c>
      <c r="D537" s="107"/>
      <c r="E537" s="317"/>
      <c r="F537" s="309" t="s">
        <v>1764</v>
      </c>
      <c r="G537" s="318" t="s">
        <v>1772</v>
      </c>
      <c r="H537" s="326" t="s">
        <v>1780</v>
      </c>
    </row>
    <row r="538" spans="1:8" ht="15" customHeight="1" x14ac:dyDescent="0.3">
      <c r="A538" s="133"/>
      <c r="B538" s="131">
        <f t="shared" si="17"/>
        <v>28</v>
      </c>
      <c r="C538" s="129" t="str">
        <f t="shared" si="16"/>
        <v>Scrivere la titolo della misura di incentivazione 7</v>
      </c>
      <c r="D538" s="107"/>
      <c r="E538" s="317"/>
      <c r="F538" s="309" t="s">
        <v>1765</v>
      </c>
      <c r="G538" s="318" t="s">
        <v>1773</v>
      </c>
      <c r="H538" s="326" t="s">
        <v>1781</v>
      </c>
    </row>
    <row r="539" spans="1:8" ht="15" customHeight="1" x14ac:dyDescent="0.3">
      <c r="A539" s="133"/>
      <c r="B539" s="131">
        <f t="shared" si="17"/>
        <v>29</v>
      </c>
      <c r="C539" s="129" t="str">
        <f t="shared" si="16"/>
        <v>Scrivere la titolo della misura di incentivazione 8</v>
      </c>
      <c r="D539" s="107"/>
      <c r="E539" s="317"/>
      <c r="F539" s="309" t="s">
        <v>1766</v>
      </c>
      <c r="G539" s="318" t="s">
        <v>1774</v>
      </c>
      <c r="H539" s="326" t="s">
        <v>1782</v>
      </c>
    </row>
    <row r="540" spans="1:8" ht="15" customHeight="1" x14ac:dyDescent="0.3">
      <c r="A540" s="133"/>
      <c r="B540" s="131">
        <f t="shared" si="17"/>
        <v>30</v>
      </c>
      <c r="C540" s="129" t="str">
        <f t="shared" si="16"/>
        <v>Analisi approssimativa</v>
      </c>
      <c r="D540" s="107"/>
      <c r="E540" s="317"/>
      <c r="F540" s="309" t="s">
        <v>1479</v>
      </c>
      <c r="G540" s="318" t="s">
        <v>1378</v>
      </c>
      <c r="H540" s="326" t="s">
        <v>1520</v>
      </c>
    </row>
    <row r="541" spans="1:8" ht="15" customHeight="1" x14ac:dyDescent="0.3">
      <c r="A541" s="133"/>
      <c r="B541" s="131">
        <f t="shared" si="17"/>
        <v>31</v>
      </c>
      <c r="C541" s="129" t="str">
        <f t="shared" si="16"/>
        <v>Analisi</v>
      </c>
      <c r="D541" s="107"/>
      <c r="E541" s="317"/>
      <c r="F541" s="309" t="s">
        <v>1877</v>
      </c>
      <c r="G541" s="318" t="s">
        <v>1877</v>
      </c>
      <c r="H541" s="326" t="s">
        <v>1878</v>
      </c>
    </row>
    <row r="542" spans="1:8" ht="15" customHeight="1" x14ac:dyDescent="0.3">
      <c r="A542" s="133"/>
      <c r="B542" s="131">
        <f t="shared" si="17"/>
        <v>32</v>
      </c>
      <c r="C542" s="129" t="str">
        <f t="shared" si="16"/>
        <v>Misure di incentivazione per i clienti target</v>
      </c>
      <c r="D542" s="107"/>
      <c r="E542" s="317"/>
      <c r="F542" s="309" t="s">
        <v>1480</v>
      </c>
      <c r="G542" s="318" t="s">
        <v>1385</v>
      </c>
      <c r="H542" s="326" t="s">
        <v>1521</v>
      </c>
    </row>
    <row r="543" spans="1:8" ht="15" customHeight="1" x14ac:dyDescent="0.3">
      <c r="A543" s="133"/>
      <c r="B543" s="131">
        <f t="shared" si="17"/>
        <v>33</v>
      </c>
      <c r="C543" s="129" t="str">
        <f t="shared" si="16"/>
        <v>Medie ponderate</v>
      </c>
      <c r="D543" s="107"/>
      <c r="E543" s="317"/>
      <c r="F543" s="309" t="s">
        <v>1481</v>
      </c>
      <c r="G543" s="318" t="s">
        <v>1382</v>
      </c>
      <c r="H543" s="326" t="s">
        <v>1522</v>
      </c>
    </row>
    <row r="544" spans="1:8" ht="15" customHeight="1" x14ac:dyDescent="0.3">
      <c r="A544" s="133"/>
      <c r="B544" s="131">
        <f t="shared" si="17"/>
        <v>34</v>
      </c>
      <c r="C544" s="129" t="str">
        <f t="shared" si="16"/>
        <v>Costo totale = totale degli investimenti indotti dal programma</v>
      </c>
      <c r="D544" s="107"/>
      <c r="E544" s="317"/>
      <c r="F544" s="309" t="s">
        <v>1482</v>
      </c>
      <c r="G544" s="318" t="s">
        <v>1398</v>
      </c>
      <c r="H544" s="326" t="s">
        <v>1523</v>
      </c>
    </row>
    <row r="545" spans="1:8" ht="15" customHeight="1" x14ac:dyDescent="0.3">
      <c r="A545" s="133"/>
      <c r="B545" s="131">
        <f t="shared" si="17"/>
        <v>35</v>
      </c>
      <c r="C545" s="129" t="str">
        <f t="shared" si="16"/>
        <v>Stato finanziamento</v>
      </c>
      <c r="D545" s="107"/>
      <c r="E545" s="317"/>
      <c r="F545" s="309" t="s">
        <v>1483</v>
      </c>
      <c r="G545" s="318" t="s">
        <v>1384</v>
      </c>
      <c r="H545" s="326" t="s">
        <v>1524</v>
      </c>
    </row>
    <row r="546" spans="1:8" ht="15" customHeight="1" x14ac:dyDescent="0.3">
      <c r="A546" s="133"/>
      <c r="B546" s="131">
        <f t="shared" si="17"/>
        <v>36</v>
      </c>
      <c r="C546" s="129" t="str">
        <f t="shared" si="16"/>
        <v>Contributo di incentivazione ProKilowatt richiesto</v>
      </c>
      <c r="D546" s="107"/>
      <c r="E546" s="317"/>
      <c r="F546" s="309" t="s">
        <v>1484</v>
      </c>
      <c r="G546" s="318" t="s">
        <v>1381</v>
      </c>
      <c r="H546" s="326" t="s">
        <v>1525</v>
      </c>
    </row>
    <row r="547" spans="1:8" ht="15" customHeight="1" x14ac:dyDescent="0.3">
      <c r="A547" s="133"/>
      <c r="B547" s="131">
        <f t="shared" si="17"/>
        <v>37</v>
      </c>
      <c r="C547" s="129" t="str">
        <f t="shared" si="16"/>
        <v>Quale contributo di incentivazione sarebbe necessario per attuare il programma a livello nazionale?</v>
      </c>
      <c r="D547" s="107"/>
      <c r="E547" s="317"/>
      <c r="F547" s="309" t="s">
        <v>1485</v>
      </c>
      <c r="G547" s="318" t="s">
        <v>1406</v>
      </c>
      <c r="H547" s="326" t="s">
        <v>1526</v>
      </c>
    </row>
    <row r="548" spans="1:8" ht="15" customHeight="1" x14ac:dyDescent="0.3">
      <c r="A548" s="133"/>
      <c r="B548" s="131">
        <f t="shared" si="17"/>
        <v>38</v>
      </c>
      <c r="C548" s="129" t="str">
        <f t="shared" si="16"/>
        <v>Osservazione(i)</v>
      </c>
      <c r="D548" s="107"/>
      <c r="E548" s="317"/>
      <c r="F548" s="309" t="s">
        <v>1486</v>
      </c>
      <c r="G548" s="318" t="s">
        <v>1407</v>
      </c>
      <c r="H548" s="326" t="s">
        <v>1527</v>
      </c>
    </row>
    <row r="549" spans="1:8" ht="15" customHeight="1" x14ac:dyDescent="0.3">
      <c r="A549" s="133"/>
      <c r="B549" s="131">
        <f t="shared" si="17"/>
        <v>39</v>
      </c>
      <c r="C549" s="129" t="str">
        <f t="shared" si="16"/>
        <v>Controllo</v>
      </c>
      <c r="D549" s="107"/>
      <c r="E549" s="317"/>
      <c r="F549" s="309" t="s">
        <v>1487</v>
      </c>
      <c r="G549" s="318" t="s">
        <v>1392</v>
      </c>
      <c r="H549" s="326" t="s">
        <v>1528</v>
      </c>
    </row>
    <row r="550" spans="1:8" ht="15" customHeight="1" x14ac:dyDescent="0.3">
      <c r="A550" s="133"/>
      <c r="B550" s="131">
        <f t="shared" si="17"/>
        <v>40</v>
      </c>
      <c r="C550" s="129" t="str">
        <f t="shared" si="16"/>
        <v>Spese amministrative (gestione generale, concezione del programma, ecc.)</v>
      </c>
      <c r="D550" s="107"/>
      <c r="E550" s="317"/>
      <c r="F550" s="309" t="s">
        <v>1488</v>
      </c>
      <c r="G550" s="318" t="s">
        <v>1409</v>
      </c>
      <c r="H550" s="326" t="s">
        <v>1529</v>
      </c>
    </row>
    <row r="551" spans="1:8" ht="15" customHeight="1" x14ac:dyDescent="0.3">
      <c r="A551" s="133"/>
      <c r="B551" s="131">
        <f t="shared" si="17"/>
        <v>41</v>
      </c>
      <c r="C551" s="129" t="str">
        <f t="shared" si="16"/>
        <v>Spese amministrative connesse ai clienti target (a seconda del numero di pratiche, ecc.)</v>
      </c>
      <c r="D551" s="107"/>
      <c r="E551" s="317"/>
      <c r="F551" s="309" t="s">
        <v>1489</v>
      </c>
      <c r="G551" s="318" t="s">
        <v>1410</v>
      </c>
      <c r="H551" s="326" t="s">
        <v>1530</v>
      </c>
    </row>
    <row r="552" spans="1:8" ht="15" customHeight="1" x14ac:dyDescent="0.3">
      <c r="A552" s="133"/>
      <c r="B552" s="131">
        <f t="shared" si="17"/>
        <v>42</v>
      </c>
      <c r="C552" s="129" t="str">
        <f t="shared" si="16"/>
        <v>Il valore della cella R11 non deve superare il 10% del contributo di incentivazione ProKilowatt richiesto (cfr. condizioni per la presentazione di progetti e programmi 2020, capitolo 2.2.1 Pg-1f).</v>
      </c>
      <c r="D552" s="107"/>
      <c r="E552" s="317"/>
      <c r="F552" s="330" t="s">
        <v>1915</v>
      </c>
      <c r="G552" s="318" t="s">
        <v>1916</v>
      </c>
      <c r="H552" s="326" t="s">
        <v>1917</v>
      </c>
    </row>
    <row r="553" spans="1:8" ht="15" customHeight="1" x14ac:dyDescent="0.3">
      <c r="A553" s="133"/>
      <c r="B553" s="131">
        <f t="shared" si="17"/>
        <v>43</v>
      </c>
      <c r="C553" s="129" t="str">
        <f t="shared" si="16"/>
        <v>Costi per la formazione, il perfezionamento e gli eventi informativi.</v>
      </c>
      <c r="D553" s="107"/>
      <c r="E553" s="317"/>
      <c r="F553" s="309" t="s">
        <v>1552</v>
      </c>
      <c r="G553" s="318" t="s">
        <v>1411</v>
      </c>
      <c r="H553" s="326" t="s">
        <v>1531</v>
      </c>
    </row>
    <row r="554" spans="1:8" ht="15" customHeight="1" x14ac:dyDescent="0.3">
      <c r="A554" s="133"/>
      <c r="B554" s="131">
        <f t="shared" si="17"/>
        <v>44</v>
      </c>
      <c r="C554" s="129" t="str">
        <f t="shared" si="16"/>
        <v>Costi per servizi di consulenza</v>
      </c>
      <c r="D554" s="107"/>
      <c r="E554" s="317"/>
      <c r="F554" s="309" t="s">
        <v>1490</v>
      </c>
      <c r="G554" s="318" t="s">
        <v>1412</v>
      </c>
      <c r="H554" s="326" t="s">
        <v>1532</v>
      </c>
    </row>
    <row r="555" spans="1:8" ht="15" customHeight="1" x14ac:dyDescent="0.3">
      <c r="A555" s="133"/>
      <c r="B555" s="131">
        <f t="shared" si="17"/>
        <v>45</v>
      </c>
      <c r="C555" s="129" t="str">
        <f t="shared" si="16"/>
        <v>Strumenti necessari per l'attuazione del programma (piattaforme d’immissione dati, moduli di registrazione, ecc.)</v>
      </c>
      <c r="D555" s="107"/>
      <c r="E555" s="317"/>
      <c r="F555" s="309" t="s">
        <v>1491</v>
      </c>
      <c r="G555" s="318" t="s">
        <v>1389</v>
      </c>
      <c r="H555" s="326" t="s">
        <v>1533</v>
      </c>
    </row>
    <row r="556" spans="1:8" ht="15" customHeight="1" x14ac:dyDescent="0.3">
      <c r="A556" s="133"/>
      <c r="B556" s="131">
        <f t="shared" si="17"/>
        <v>46</v>
      </c>
      <c r="C556" s="129" t="str">
        <f t="shared" si="16"/>
        <v>Costi per misurazioni di controllo (monitoraggio)</v>
      </c>
      <c r="D556" s="107"/>
      <c r="E556" s="317"/>
      <c r="F556" s="309" t="s">
        <v>1492</v>
      </c>
      <c r="G556" s="318" t="s">
        <v>1413</v>
      </c>
      <c r="H556" s="326" t="s">
        <v>1534</v>
      </c>
    </row>
    <row r="557" spans="1:8" ht="15" customHeight="1" x14ac:dyDescent="0.3">
      <c r="A557" s="133"/>
      <c r="B557" s="131">
        <f t="shared" si="17"/>
        <v>47</v>
      </c>
      <c r="C557" s="129" t="str">
        <f t="shared" si="16"/>
        <v>Costi per misure complementari aggiuntive</v>
      </c>
      <c r="D557" s="107"/>
      <c r="E557" s="317"/>
      <c r="F557" s="309" t="s">
        <v>1493</v>
      </c>
      <c r="G557" s="318" t="s">
        <v>1414</v>
      </c>
      <c r="H557" s="326" t="s">
        <v>1535</v>
      </c>
    </row>
    <row r="558" spans="1:8" ht="15" customHeight="1" x14ac:dyDescent="0.3">
      <c r="A558" s="133"/>
      <c r="B558" s="131">
        <f t="shared" si="17"/>
        <v>48</v>
      </c>
      <c r="C558" s="129" t="str">
        <f t="shared" si="16"/>
        <v>Il valore delle celle R14 e R21 non deve superare il 30% del contributo di incentivazione ProKilowatt-richiesto (cfr. condizioni per la presentazione di progetti e programmi 2020, capitolo 2.2.1 Pg-1f).</v>
      </c>
      <c r="D558" s="107"/>
      <c r="E558" s="317"/>
      <c r="F558" s="309" t="s">
        <v>1918</v>
      </c>
      <c r="G558" s="318" t="s">
        <v>1919</v>
      </c>
      <c r="H558" s="326" t="s">
        <v>1920</v>
      </c>
    </row>
    <row r="559" spans="1:8" ht="15" customHeight="1" x14ac:dyDescent="0.3">
      <c r="A559" s="133"/>
      <c r="B559" s="131">
        <f t="shared" si="17"/>
        <v>49</v>
      </c>
      <c r="C559" s="129" t="str">
        <f t="shared" si="16"/>
        <v>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v>
      </c>
      <c r="D559" s="107"/>
      <c r="E559" s="317"/>
      <c r="F559" s="309" t="s">
        <v>1927</v>
      </c>
      <c r="G559" s="318" t="s">
        <v>1928</v>
      </c>
      <c r="H559" s="326" t="s">
        <v>1929</v>
      </c>
    </row>
    <row r="560" spans="1:8" ht="15" customHeight="1" x14ac:dyDescent="0.3">
      <c r="A560" s="133"/>
      <c r="B560" s="131">
        <f t="shared" si="17"/>
        <v>50</v>
      </c>
      <c r="C560" s="129" t="str">
        <f t="shared" si="16"/>
        <v>Stima del contributo di incentivazione necessario per attuare il programma in Svizzera?</v>
      </c>
      <c r="D560" s="107"/>
      <c r="E560" s="317"/>
      <c r="F560" s="309" t="s">
        <v>1553</v>
      </c>
      <c r="G560" s="318" t="s">
        <v>1415</v>
      </c>
      <c r="H560" s="326" t="s">
        <v>1536</v>
      </c>
    </row>
    <row r="561" spans="1:8" ht="15" customHeight="1" x14ac:dyDescent="0.3">
      <c r="A561" s="133"/>
      <c r="B561" s="131">
        <f t="shared" si="17"/>
        <v>51</v>
      </c>
      <c r="C561" s="129" t="str">
        <f t="shared" si="16"/>
        <v>Valutazione dell'efficacia / risparmi</v>
      </c>
      <c r="D561" s="107"/>
      <c r="E561" s="317"/>
      <c r="F561" s="309" t="s">
        <v>1494</v>
      </c>
      <c r="G561" s="318" t="s">
        <v>1439</v>
      </c>
      <c r="H561" s="326" t="s">
        <v>1537</v>
      </c>
    </row>
    <row r="562" spans="1:8" ht="15" customHeight="1" x14ac:dyDescent="0.3">
      <c r="A562" s="133"/>
      <c r="B562" s="131">
        <f t="shared" si="17"/>
        <v>52</v>
      </c>
      <c r="C562" s="129" t="str">
        <f t="shared" si="16"/>
        <v>Stato risparmi</v>
      </c>
      <c r="D562" s="107"/>
      <c r="E562" s="317"/>
      <c r="F562" s="309" t="s">
        <v>1495</v>
      </c>
      <c r="G562" s="318" t="s">
        <v>1397</v>
      </c>
      <c r="H562" s="326" t="s">
        <v>1538</v>
      </c>
    </row>
    <row r="563" spans="1:8" ht="15" customHeight="1" x14ac:dyDescent="0.3">
      <c r="A563" s="133"/>
      <c r="B563" s="131">
        <f t="shared" si="17"/>
        <v>53</v>
      </c>
      <c r="C563" s="129" t="str">
        <f t="shared" si="16"/>
        <v>Valutazione dell'efficacia / risparmi delle misure di incentivazione</v>
      </c>
      <c r="D563" s="107"/>
      <c r="E563" s="317"/>
      <c r="F563" s="309" t="s">
        <v>1496</v>
      </c>
      <c r="G563" s="318" t="s">
        <v>1442</v>
      </c>
      <c r="H563" s="326" t="s">
        <v>1539</v>
      </c>
    </row>
    <row r="564" spans="1:8" ht="15" customHeight="1" x14ac:dyDescent="0.3">
      <c r="A564" s="133"/>
      <c r="B564" s="131">
        <f t="shared" si="17"/>
        <v>54</v>
      </c>
      <c r="C564" s="129" t="str">
        <f t="shared" si="16"/>
        <v>I risparmi vanno indicati separatamente per le singole misure di incentivazione.</v>
      </c>
      <c r="D564" s="107"/>
      <c r="E564" s="317"/>
      <c r="F564" s="309" t="s">
        <v>1497</v>
      </c>
      <c r="G564" s="318" t="s">
        <v>1418</v>
      </c>
      <c r="H564" s="326" t="s">
        <v>1540</v>
      </c>
    </row>
    <row r="565" spans="1:8" ht="15" customHeight="1" x14ac:dyDescent="0.3">
      <c r="A565" s="133"/>
      <c r="B565" s="131">
        <f t="shared" si="17"/>
        <v>55</v>
      </c>
      <c r="C565" s="129" t="str">
        <f t="shared" si="16"/>
        <v>Consumo di elettricità del impianto standard /unità</v>
      </c>
      <c r="D565" s="107"/>
      <c r="E565" s="317"/>
      <c r="F565" s="309" t="s">
        <v>1956</v>
      </c>
      <c r="G565" s="318" t="s">
        <v>1957</v>
      </c>
      <c r="H565" s="326" t="s">
        <v>1958</v>
      </c>
    </row>
    <row r="566" spans="1:8" ht="15" customHeight="1" x14ac:dyDescent="0.3">
      <c r="A566" s="133"/>
      <c r="B566" s="131">
        <f t="shared" si="17"/>
        <v>56</v>
      </c>
      <c r="C566" s="129" t="str">
        <f t="shared" si="16"/>
        <v>Consumo di elettricità del nuovo impianto / unità</v>
      </c>
      <c r="D566" s="107"/>
      <c r="E566" s="317"/>
      <c r="F566" s="309" t="s">
        <v>1841</v>
      </c>
      <c r="G566" s="318" t="s">
        <v>1842</v>
      </c>
      <c r="H566" s="326" t="s">
        <v>1843</v>
      </c>
    </row>
    <row r="567" spans="1:8" ht="15" customHeight="1" x14ac:dyDescent="0.3">
      <c r="A567" s="133"/>
      <c r="B567" s="131">
        <f t="shared" si="17"/>
        <v>57</v>
      </c>
      <c r="C567" s="129" t="str">
        <f t="shared" si="16"/>
        <v>Fattore di riduzione 
per rata della sostituzione naturale</v>
      </c>
      <c r="D567" s="107"/>
      <c r="E567" s="317"/>
      <c r="F567" s="309" t="s">
        <v>1570</v>
      </c>
      <c r="G567" s="318" t="s">
        <v>1569</v>
      </c>
      <c r="H567" s="326" t="s">
        <v>1571</v>
      </c>
    </row>
    <row r="568" spans="1:8" ht="15" customHeight="1" x14ac:dyDescent="0.3">
      <c r="A568" s="133"/>
      <c r="B568" s="131">
        <f t="shared" si="17"/>
        <v>58</v>
      </c>
      <c r="C568" s="129" t="str">
        <f t="shared" si="16"/>
        <v>Risparmio di energia elettrica /unità</v>
      </c>
      <c r="D568" s="107"/>
      <c r="E568" s="317"/>
      <c r="F568" s="309" t="s">
        <v>1865</v>
      </c>
      <c r="G568" s="318" t="s">
        <v>1866</v>
      </c>
      <c r="H568" s="326" t="s">
        <v>1867</v>
      </c>
    </row>
    <row r="569" spans="1:8" ht="15" customHeight="1" x14ac:dyDescent="0.3">
      <c r="A569" s="133"/>
      <c r="B569" s="131">
        <f t="shared" si="17"/>
        <v>59</v>
      </c>
      <c r="C569" s="129" t="str">
        <f t="shared" si="16"/>
        <v>Durata di utilizzo computabile</v>
      </c>
      <c r="D569" s="107"/>
      <c r="E569" s="317"/>
      <c r="F569" s="309" t="s">
        <v>1962</v>
      </c>
      <c r="G569" s="318" t="s">
        <v>1963</v>
      </c>
      <c r="H569" s="326" t="s">
        <v>1964</v>
      </c>
    </row>
    <row r="570" spans="1:8" ht="15" customHeight="1" x14ac:dyDescent="0.3">
      <c r="A570" s="133"/>
      <c r="B570" s="131">
        <f t="shared" si="17"/>
        <v>60</v>
      </c>
      <c r="C570" s="129" t="str">
        <f t="shared" si="16"/>
        <v>Risparmio di energia elettrica computabile totale all'anno</v>
      </c>
      <c r="D570" s="107"/>
      <c r="E570" s="317"/>
      <c r="F570" s="309" t="s">
        <v>1598</v>
      </c>
      <c r="G570" s="318" t="s">
        <v>1566</v>
      </c>
      <c r="H570" s="326" t="s">
        <v>1567</v>
      </c>
    </row>
    <row r="571" spans="1:8" ht="15" customHeight="1" x14ac:dyDescent="0.3">
      <c r="A571" s="133"/>
      <c r="B571" s="131">
        <f t="shared" si="17"/>
        <v>61</v>
      </c>
      <c r="C571" s="129" t="str">
        <f t="shared" si="16"/>
        <v>Payback per ogni misura senza i mezzi di Prokilowatt</v>
      </c>
      <c r="D571" s="107"/>
      <c r="E571" s="317"/>
      <c r="F571" s="309" t="s">
        <v>1868</v>
      </c>
      <c r="G571" s="318" t="s">
        <v>1869</v>
      </c>
      <c r="H571" s="326" t="s">
        <v>1870</v>
      </c>
    </row>
    <row r="572" spans="1:8" ht="15" customHeight="1" x14ac:dyDescent="0.3">
      <c r="A572" s="133"/>
      <c r="B572" s="131">
        <f t="shared" si="17"/>
        <v>62</v>
      </c>
      <c r="C572" s="129" t="str">
        <f t="shared" si="16"/>
        <v>Periodo di payback per ogni misura con i mezzi di incentivazione</v>
      </c>
      <c r="D572" s="107"/>
      <c r="E572" s="317"/>
      <c r="F572" s="309" t="s">
        <v>1498</v>
      </c>
      <c r="G572" s="318" t="s">
        <v>1568</v>
      </c>
      <c r="H572" s="326" t="s">
        <v>1541</v>
      </c>
    </row>
    <row r="573" spans="1:8" ht="15" customHeight="1" x14ac:dyDescent="0.3">
      <c r="A573" s="133"/>
      <c r="B573" s="131">
        <f t="shared" si="17"/>
        <v>63</v>
      </c>
      <c r="C573" s="129" t="str">
        <f t="shared" si="16"/>
        <v>Risparmio di energia elettrica computabile complessivo per la durata di utilizzo</v>
      </c>
      <c r="D573" s="107"/>
      <c r="E573" s="317"/>
      <c r="F573" s="309" t="s">
        <v>1561</v>
      </c>
      <c r="G573" s="318" t="s">
        <v>1560</v>
      </c>
      <c r="H573" s="326" t="s">
        <v>1562</v>
      </c>
    </row>
    <row r="574" spans="1:8" ht="15" customHeight="1" x14ac:dyDescent="0.3">
      <c r="A574" s="133"/>
      <c r="B574" s="131">
        <f t="shared" si="17"/>
        <v>64</v>
      </c>
      <c r="C574" s="129" t="str">
        <f t="shared" si="16"/>
        <v>Tutte le misure sostitutive per le pompe di circolazione hanno un fattore di riduzione di 0.67 = 1 - 0.33 (cfr. condizioni per la presentazione di progetti e programmi 2015, cap. 4.1). Tutte le altre misure hanno un fattore di riduzione di 1.00.</v>
      </c>
      <c r="D574" s="107"/>
      <c r="E574" s="317"/>
      <c r="F574" s="366" t="s">
        <v>1605</v>
      </c>
      <c r="G574" s="367" t="s">
        <v>1604</v>
      </c>
      <c r="H574" s="368" t="s">
        <v>1606</v>
      </c>
    </row>
    <row r="575" spans="1:8" ht="15" customHeight="1" x14ac:dyDescent="0.3">
      <c r="A575" s="133"/>
      <c r="B575" s="131">
        <f t="shared" si="17"/>
        <v>65</v>
      </c>
      <c r="C575" s="129" t="str">
        <f t="shared" si="16"/>
        <v>Misure con un payback senza mezzi di incentivazione &lt; 4 anni possono essere considerate come risparmio, tuttavia non possono essere versati in aggiunta contributi di incentivazione.</v>
      </c>
      <c r="D575" s="107"/>
      <c r="E575" s="317"/>
      <c r="F575" s="309" t="s">
        <v>1828</v>
      </c>
      <c r="G575" s="318" t="s">
        <v>1829</v>
      </c>
      <c r="H575" s="326" t="s">
        <v>1830</v>
      </c>
    </row>
    <row r="576" spans="1:8" ht="15" customHeight="1" x14ac:dyDescent="0.3">
      <c r="A576" s="133"/>
      <c r="B576" s="131">
        <f t="shared" si="17"/>
        <v>66</v>
      </c>
      <c r="C576" s="129" t="str">
        <f t="shared" si="16"/>
        <v>In caso di ottimizzazione del funzionamento le misure devono essere indicate per impianto.</v>
      </c>
      <c r="D576" s="107"/>
      <c r="E576" s="317"/>
      <c r="F576" s="309" t="s">
        <v>1499</v>
      </c>
      <c r="G576" s="318" t="s">
        <v>1400</v>
      </c>
      <c r="H576" s="319" t="s">
        <v>1542</v>
      </c>
    </row>
    <row r="577" spans="1:8" ht="15" customHeight="1" x14ac:dyDescent="0.3">
      <c r="A577" s="133"/>
      <c r="B577" s="131">
        <f t="shared" si="17"/>
        <v>67</v>
      </c>
      <c r="C577" s="129">
        <f t="shared" si="16"/>
        <v>0</v>
      </c>
      <c r="D577" s="107"/>
      <c r="E577" s="317"/>
      <c r="F577" s="309"/>
      <c r="G577" s="318"/>
      <c r="H577" s="326"/>
    </row>
    <row r="578" spans="1:8" ht="15" customHeight="1" x14ac:dyDescent="0.3">
      <c r="A578" s="133"/>
      <c r="B578" s="131">
        <f t="shared" si="17"/>
        <v>68</v>
      </c>
      <c r="C578" s="129" t="str">
        <f t="shared" si="16"/>
        <v>Totale</v>
      </c>
      <c r="D578" s="107"/>
      <c r="E578" s="317"/>
      <c r="F578" s="309" t="s">
        <v>536</v>
      </c>
      <c r="G578" s="318" t="s">
        <v>536</v>
      </c>
      <c r="H578" s="326" t="s">
        <v>1004</v>
      </c>
    </row>
    <row r="579" spans="1:8" ht="15" customHeight="1" x14ac:dyDescent="0.3">
      <c r="A579" s="133"/>
      <c r="B579" s="131">
        <f t="shared" si="17"/>
        <v>69</v>
      </c>
      <c r="C579" s="129" t="str">
        <f t="shared" si="16"/>
        <v>Consumo di elettricità del impianto standard / totale</v>
      </c>
      <c r="D579" s="107"/>
      <c r="E579" s="317"/>
      <c r="F579" s="309" t="s">
        <v>1959</v>
      </c>
      <c r="G579" s="318" t="s">
        <v>1960</v>
      </c>
      <c r="H579" s="326" t="s">
        <v>1961</v>
      </c>
    </row>
    <row r="580" spans="1:8" ht="15" customHeight="1" x14ac:dyDescent="0.3">
      <c r="A580" s="133"/>
      <c r="B580" s="131">
        <f t="shared" si="17"/>
        <v>70</v>
      </c>
      <c r="C580" s="129" t="str">
        <f t="shared" si="16"/>
        <v>Consumo di elettricità del nuovo impianto / totale</v>
      </c>
      <c r="D580" s="107"/>
      <c r="E580" s="317"/>
      <c r="F580" s="309" t="s">
        <v>1844</v>
      </c>
      <c r="G580" s="318" t="s">
        <v>1845</v>
      </c>
      <c r="H580" s="326" t="s">
        <v>1846</v>
      </c>
    </row>
    <row r="581" spans="1:8" ht="15" customHeight="1" x14ac:dyDescent="0.3">
      <c r="A581" s="133"/>
      <c r="B581" s="131">
        <f t="shared" si="17"/>
        <v>71</v>
      </c>
      <c r="C581" s="129" t="str">
        <f t="shared" ref="C581:C644" si="18">IF($B$1="f",F581,IF($B$1="d",G581,H581))</f>
        <v xml:space="preserve">Quota dei costi di gestione (amministrazione) </v>
      </c>
      <c r="D581" s="107"/>
      <c r="E581" s="317"/>
      <c r="F581" s="309" t="s">
        <v>1500</v>
      </c>
      <c r="G581" s="318" t="s">
        <v>1437</v>
      </c>
      <c r="H581" s="326" t="s">
        <v>1543</v>
      </c>
    </row>
    <row r="582" spans="1:8" ht="15" customHeight="1" x14ac:dyDescent="0.3">
      <c r="A582" s="133"/>
      <c r="B582" s="131">
        <f t="shared" ref="B582:B645" si="19">B581+1</f>
        <v>72</v>
      </c>
      <c r="C582" s="129" t="str">
        <f t="shared" si="18"/>
        <v>Quota delle misure di incentivazione</v>
      </c>
      <c r="D582" s="107"/>
      <c r="E582" s="317"/>
      <c r="F582" s="309" t="s">
        <v>1501</v>
      </c>
      <c r="G582" s="318" t="s">
        <v>1438</v>
      </c>
      <c r="H582" s="326" t="s">
        <v>1544</v>
      </c>
    </row>
    <row r="583" spans="1:8" ht="15" customHeight="1" x14ac:dyDescent="0.3">
      <c r="A583" s="133"/>
      <c r="B583" s="131">
        <f t="shared" si="19"/>
        <v>73</v>
      </c>
      <c r="C583" s="129" t="str">
        <f t="shared" si="18"/>
        <v>Quota del contributo di incentivazione per gli investimenti dei clienti target (Media ponderata)</v>
      </c>
      <c r="D583" s="107"/>
      <c r="E583" s="317"/>
      <c r="F583" s="309" t="s">
        <v>1611</v>
      </c>
      <c r="G583" s="318" t="s">
        <v>1610</v>
      </c>
      <c r="H583" s="326" t="s">
        <v>1612</v>
      </c>
    </row>
    <row r="584" spans="1:8" ht="15" customHeight="1" x14ac:dyDescent="0.3">
      <c r="A584" s="133"/>
      <c r="B584" s="131">
        <f t="shared" si="19"/>
        <v>74</v>
      </c>
      <c r="C584" s="129" t="str">
        <f t="shared" si="18"/>
        <v>Contributo Prokilowatt (cfr. commento U27-31)</v>
      </c>
      <c r="D584" s="107"/>
      <c r="E584" s="317"/>
      <c r="F584" s="309" t="s">
        <v>1859</v>
      </c>
      <c r="G584" s="318" t="s">
        <v>1860</v>
      </c>
      <c r="H584" s="326" t="s">
        <v>1861</v>
      </c>
    </row>
    <row r="585" spans="1:8" ht="15" customHeight="1" x14ac:dyDescent="0.3">
      <c r="A585" s="133"/>
      <c r="B585" s="131">
        <f t="shared" si="19"/>
        <v>75</v>
      </c>
      <c r="C585" s="129" t="str">
        <f t="shared" si="18"/>
        <v>Quota dei costi di gestione e costi per le misure complementari</v>
      </c>
      <c r="D585" s="107"/>
      <c r="E585" s="317"/>
      <c r="F585" s="309" t="s">
        <v>1590</v>
      </c>
      <c r="G585" s="318" t="s">
        <v>1583</v>
      </c>
      <c r="H585" s="326" t="s">
        <v>1591</v>
      </c>
    </row>
    <row r="586" spans="1:8" ht="15" customHeight="1" x14ac:dyDescent="0.3">
      <c r="A586" s="133"/>
      <c r="B586" s="131">
        <f t="shared" si="19"/>
        <v>76</v>
      </c>
      <c r="C586" s="129" t="str">
        <f t="shared" si="18"/>
        <v>Tipo di programma</v>
      </c>
      <c r="D586" s="107"/>
      <c r="E586" s="317"/>
      <c r="F586" s="309" t="s">
        <v>1453</v>
      </c>
      <c r="G586" s="318" t="s">
        <v>1455</v>
      </c>
      <c r="H586" s="326" t="s">
        <v>1454</v>
      </c>
    </row>
    <row r="587" spans="1:8" ht="15" customHeight="1" x14ac:dyDescent="0.3">
      <c r="A587" s="133"/>
      <c r="B587" s="131">
        <f t="shared" si="19"/>
        <v>77</v>
      </c>
      <c r="C587" s="129" t="str">
        <f t="shared" si="18"/>
        <v>Nessun programma settoriale</v>
      </c>
      <c r="D587" s="107"/>
      <c r="E587" s="317"/>
      <c r="F587" s="309" t="s">
        <v>1622</v>
      </c>
      <c r="G587" s="318" t="s">
        <v>1623</v>
      </c>
      <c r="H587" s="326" t="s">
        <v>1625</v>
      </c>
    </row>
    <row r="588" spans="1:8" ht="15" customHeight="1" x14ac:dyDescent="0.3">
      <c r="A588" s="133"/>
      <c r="B588" s="131">
        <f t="shared" si="19"/>
        <v>78</v>
      </c>
      <c r="C588" s="129" t="str">
        <f t="shared" si="18"/>
        <v>Programma settoriale Pompe di circolazione nell’ambito di industria, artigianato e servizi</v>
      </c>
      <c r="D588" s="107"/>
      <c r="E588" s="317"/>
      <c r="F588" s="309" t="s">
        <v>1621</v>
      </c>
      <c r="G588" s="318" t="s">
        <v>1624</v>
      </c>
      <c r="H588" s="326" t="s">
        <v>1554</v>
      </c>
    </row>
    <row r="589" spans="1:8" ht="15" customHeight="1" x14ac:dyDescent="0.3">
      <c r="A589" s="133"/>
      <c r="B589" s="131">
        <f t="shared" si="19"/>
        <v>79</v>
      </c>
      <c r="C589" s="129" t="str">
        <f t="shared" si="18"/>
        <v>Programma</v>
      </c>
      <c r="D589" s="107"/>
      <c r="E589" s="317"/>
      <c r="F589" s="309" t="s">
        <v>1756</v>
      </c>
      <c r="G589" s="318" t="s">
        <v>1757</v>
      </c>
      <c r="H589" s="326" t="s">
        <v>1758</v>
      </c>
    </row>
    <row r="590" spans="1:8" ht="15" customHeight="1" x14ac:dyDescent="0.3">
      <c r="A590" s="133"/>
      <c r="B590" s="131">
        <f t="shared" si="19"/>
        <v>80</v>
      </c>
      <c r="C590" s="129" t="str">
        <f t="shared" si="18"/>
        <v>Programma per l'esecuuione di aste die progetti</v>
      </c>
      <c r="D590" s="107"/>
      <c r="E590" s="317"/>
      <c r="F590" s="309" t="s">
        <v>1825</v>
      </c>
      <c r="G590" s="318" t="s">
        <v>1826</v>
      </c>
      <c r="H590" s="326" t="s">
        <v>1827</v>
      </c>
    </row>
    <row r="591" spans="1:8" ht="15" customHeight="1" x14ac:dyDescent="0.3">
      <c r="A591" s="133"/>
      <c r="B591" s="131">
        <f t="shared" si="19"/>
        <v>81</v>
      </c>
      <c r="C591" s="129" t="str">
        <f t="shared" si="18"/>
        <v>Ø Risparmi di energia elettrica in kWh/anno</v>
      </c>
      <c r="D591" s="107"/>
      <c r="E591" s="317"/>
      <c r="F591" s="310" t="s">
        <v>1581</v>
      </c>
      <c r="G591" s="318" t="s">
        <v>74</v>
      </c>
      <c r="H591" s="319" t="s">
        <v>1582</v>
      </c>
    </row>
    <row r="592" spans="1:8" ht="15" customHeight="1" x14ac:dyDescent="0.3">
      <c r="A592" s="133"/>
      <c r="B592" s="131">
        <f t="shared" si="19"/>
        <v>82</v>
      </c>
      <c r="C592" s="129" t="str">
        <f t="shared" si="18"/>
        <v>Indici</v>
      </c>
      <c r="D592" s="107"/>
      <c r="E592" s="317"/>
      <c r="F592" s="309" t="s">
        <v>1847</v>
      </c>
      <c r="G592" s="318" t="s">
        <v>1848</v>
      </c>
      <c r="H592" s="326" t="s">
        <v>1849</v>
      </c>
    </row>
    <row r="593" spans="1:8" ht="15" customHeight="1" x14ac:dyDescent="0.3">
      <c r="A593" s="133"/>
      <c r="B593" s="131">
        <f t="shared" si="19"/>
        <v>83</v>
      </c>
      <c r="C593" s="129" t="str">
        <f t="shared" si="18"/>
        <v>Quota dei costi di gestione e costi per le misure complementari a costi totali</v>
      </c>
      <c r="D593" s="107"/>
      <c r="E593" s="317"/>
      <c r="F593" s="309" t="s">
        <v>1586</v>
      </c>
      <c r="G593" s="318" t="s">
        <v>1584</v>
      </c>
      <c r="H593" s="326" t="s">
        <v>1588</v>
      </c>
    </row>
    <row r="594" spans="1:8" ht="15" customHeight="1" x14ac:dyDescent="0.3">
      <c r="A594" s="133"/>
      <c r="B594" s="131">
        <f t="shared" si="19"/>
        <v>84</v>
      </c>
      <c r="C594" s="129" t="str">
        <f t="shared" si="18"/>
        <v>Quota dei costi di gestione e costi per le misure complementari a costi totali senza gli costi di clienti target</v>
      </c>
      <c r="D594" s="107"/>
      <c r="E594" s="317"/>
      <c r="F594" s="309" t="s">
        <v>1587</v>
      </c>
      <c r="G594" s="318" t="s">
        <v>1585</v>
      </c>
      <c r="H594" s="326" t="s">
        <v>1589</v>
      </c>
    </row>
    <row r="595" spans="1:8" ht="15" customHeight="1" x14ac:dyDescent="0.3">
      <c r="A595" s="133"/>
      <c r="B595" s="131">
        <f t="shared" si="19"/>
        <v>85</v>
      </c>
      <c r="C595" s="129" t="str">
        <f t="shared" si="18"/>
        <v>Se si tratta di un programma o di un programma settoriale bisogna selezionare il programma specifico.</v>
      </c>
      <c r="D595" s="107"/>
      <c r="E595" s="317"/>
      <c r="F595" s="309" t="s">
        <v>1838</v>
      </c>
      <c r="G595" s="318" t="s">
        <v>1839</v>
      </c>
      <c r="H595" s="326" t="s">
        <v>1840</v>
      </c>
    </row>
    <row r="596" spans="1:8" ht="15" customHeight="1" x14ac:dyDescent="0.3">
      <c r="A596" s="133"/>
      <c r="B596" s="131">
        <f t="shared" si="19"/>
        <v>86</v>
      </c>
      <c r="C596" s="129" t="str">
        <f t="shared" si="18"/>
        <v>Quota dei contributo di incentivazione ProKilowatt a costi totali senza gli costi di clienti target</v>
      </c>
      <c r="D596" s="107"/>
      <c r="E596" s="317"/>
      <c r="F596" s="309" t="s">
        <v>1596</v>
      </c>
      <c r="G596" s="318" t="s">
        <v>1595</v>
      </c>
      <c r="H596" s="326" t="s">
        <v>1597</v>
      </c>
    </row>
    <row r="597" spans="1:8" ht="15" customHeight="1" x14ac:dyDescent="0.3">
      <c r="A597" s="133"/>
      <c r="B597" s="131">
        <f t="shared" si="19"/>
        <v>87</v>
      </c>
      <c r="C597" s="129" t="str">
        <f t="shared" si="18"/>
        <v>Frigoriferi e congelatori</v>
      </c>
      <c r="D597" s="107"/>
      <c r="E597" s="317"/>
      <c r="F597" s="309" t="s">
        <v>1946</v>
      </c>
      <c r="G597" s="318" t="s">
        <v>1947</v>
      </c>
      <c r="H597" s="326" t="s">
        <v>1948</v>
      </c>
    </row>
    <row r="598" spans="1:8" ht="15" customHeight="1" x14ac:dyDescent="0.3">
      <c r="A598" s="133"/>
      <c r="B598" s="131">
        <f t="shared" si="19"/>
        <v>88</v>
      </c>
      <c r="C598" s="129" t="str">
        <f t="shared" si="18"/>
        <v>Lavatrice</v>
      </c>
      <c r="D598" s="107"/>
      <c r="E598" s="317"/>
      <c r="F598" s="312" t="s">
        <v>1949</v>
      </c>
      <c r="G598" s="324" t="s">
        <v>1950</v>
      </c>
      <c r="H598" s="325" t="s">
        <v>1951</v>
      </c>
    </row>
    <row r="599" spans="1:8" ht="15" customHeight="1" x14ac:dyDescent="0.3">
      <c r="A599" s="133"/>
      <c r="B599" s="131">
        <f t="shared" si="19"/>
        <v>89</v>
      </c>
      <c r="C599" s="129" t="str">
        <f t="shared" si="18"/>
        <v>Lavastoviglie</v>
      </c>
      <c r="D599" s="107"/>
      <c r="E599" s="317"/>
      <c r="F599" s="312" t="s">
        <v>1954</v>
      </c>
      <c r="G599" s="324" t="s">
        <v>1953</v>
      </c>
      <c r="H599" s="325" t="s">
        <v>1952</v>
      </c>
    </row>
    <row r="600" spans="1:8" ht="15" customHeight="1" x14ac:dyDescent="0.3">
      <c r="A600" s="133"/>
      <c r="B600" s="131">
        <f t="shared" si="19"/>
        <v>90</v>
      </c>
      <c r="C600" s="129" t="str">
        <f t="shared" si="18"/>
        <v>Il valore della cella R21 non deve superare il 30% del contributo di incentivazione ProKilowatt-richiesto (cfr. condizioni per la presentazione di progetti e programmi 2020, capitolo 2.2.1 Pg-1f).</v>
      </c>
      <c r="D600" s="107"/>
      <c r="E600" s="317"/>
      <c r="F600" s="309" t="s">
        <v>1921</v>
      </c>
      <c r="G600" s="318" t="s">
        <v>1922</v>
      </c>
      <c r="H600" s="326" t="s">
        <v>1923</v>
      </c>
    </row>
    <row r="601" spans="1:8" ht="15" customHeight="1" x14ac:dyDescent="0.3">
      <c r="A601" s="133"/>
      <c r="B601" s="131">
        <f t="shared" si="19"/>
        <v>91</v>
      </c>
      <c r="C601" s="129" t="str">
        <f t="shared" si="18"/>
        <v>Contributo richiesto dalle gare pubbliche. Importo minimo CHF 150'000.-. Importo massimo 3 mln. CHF.</v>
      </c>
      <c r="D601" s="107"/>
      <c r="E601" s="317"/>
      <c r="F601" s="310" t="s">
        <v>1754</v>
      </c>
      <c r="G601" s="318" t="s">
        <v>1613</v>
      </c>
      <c r="H601" s="319" t="s">
        <v>1614</v>
      </c>
    </row>
    <row r="602" spans="1:8" ht="15" customHeight="1" x14ac:dyDescent="0.3">
      <c r="A602" s="133"/>
      <c r="B602" s="131">
        <f t="shared" si="19"/>
        <v>92</v>
      </c>
      <c r="C602" s="129" t="str">
        <f t="shared" si="18"/>
        <v>I38 cella deve essere ≥ 15%. I clienti finali devono ricevere un contributo di promozione per pompa di oltre come minimo il 15 per cento (in media) dei costi totali (cfr. condizioni per la presentazione di progetti e programmi 2015, cap. 4.1).</v>
      </c>
      <c r="D602" s="107"/>
      <c r="E602" s="317"/>
      <c r="F602" s="310" t="s">
        <v>1608</v>
      </c>
      <c r="G602" s="318" t="s">
        <v>1607</v>
      </c>
      <c r="H602" s="319" t="s">
        <v>1609</v>
      </c>
    </row>
    <row r="603" spans="1:8" ht="15" customHeight="1" x14ac:dyDescent="0.3">
      <c r="A603" s="133"/>
      <c r="B603" s="131">
        <f t="shared" si="19"/>
        <v>93</v>
      </c>
      <c r="C603" s="129" t="str">
        <f t="shared" si="18"/>
        <v>Il valore della cella S21 non deve superare il 20% del contributo di incentivazione ProKilowatt-richiesto (cfr. condizioni per la presentazione di progetti e programmi 2016, cap. 4.7).</v>
      </c>
      <c r="D603" s="107"/>
      <c r="E603" s="317"/>
      <c r="F603" s="331" t="s">
        <v>1788</v>
      </c>
      <c r="G603" s="318" t="s">
        <v>1789</v>
      </c>
      <c r="H603" s="319" t="s">
        <v>1790</v>
      </c>
    </row>
    <row r="604" spans="1:8" ht="15" customHeight="1" x14ac:dyDescent="0.3">
      <c r="A604" s="133"/>
      <c r="B604" s="131">
        <f t="shared" si="19"/>
        <v>94</v>
      </c>
      <c r="C604" s="129" t="str">
        <f t="shared" si="18"/>
        <v>Contributo richiesto dalle gare pubbliche. Importo minimo CHF 150'000.-. Importo massimo 3 mln. CHF.</v>
      </c>
      <c r="D604" s="107"/>
      <c r="E604" s="317"/>
      <c r="F604" s="310" t="s">
        <v>1615</v>
      </c>
      <c r="G604" s="318" t="s">
        <v>1613</v>
      </c>
      <c r="H604" s="319" t="s">
        <v>1614</v>
      </c>
    </row>
    <row r="605" spans="1:8" ht="15" customHeight="1" x14ac:dyDescent="0.3">
      <c r="A605" s="133"/>
      <c r="B605" s="131">
        <f t="shared" si="19"/>
        <v>95</v>
      </c>
      <c r="C605" s="129" t="str">
        <f t="shared" si="18"/>
        <v>Periodo di payback del programma (con i mezzi per l'incentivazione impiegati)</v>
      </c>
      <c r="D605" s="107"/>
      <c r="E605" s="317"/>
      <c r="F605" s="310" t="s">
        <v>1601</v>
      </c>
      <c r="G605" s="318" t="s">
        <v>1602</v>
      </c>
      <c r="H605" s="319" t="s">
        <v>1603</v>
      </c>
    </row>
    <row r="606" spans="1:8" ht="15" customHeight="1" x14ac:dyDescent="0.3">
      <c r="A606" s="133"/>
      <c r="B606" s="131">
        <f t="shared" si="19"/>
        <v>96</v>
      </c>
      <c r="C606" s="129" t="str">
        <f t="shared" si="18"/>
        <v>Periodo di payback per ogni misura con i mezzi di incentivazione</v>
      </c>
      <c r="D606" s="107"/>
      <c r="E606" s="317"/>
      <c r="F606" s="309" t="s">
        <v>1498</v>
      </c>
      <c r="G606" s="318" t="s">
        <v>1568</v>
      </c>
      <c r="H606" s="326" t="s">
        <v>1541</v>
      </c>
    </row>
    <row r="607" spans="1:8" ht="15" customHeight="1" x14ac:dyDescent="0.3">
      <c r="A607" s="133"/>
      <c r="B607" s="131">
        <f t="shared" si="19"/>
        <v>97</v>
      </c>
      <c r="C607" s="129" t="str">
        <f t="shared" si="18"/>
        <v xml:space="preserve">Forni </v>
      </c>
      <c r="D607" s="107"/>
      <c r="E607" s="317"/>
      <c r="F607" s="338" t="s">
        <v>1629</v>
      </c>
      <c r="G607" s="339" t="s">
        <v>1666</v>
      </c>
      <c r="H607" s="340" t="s">
        <v>1708</v>
      </c>
    </row>
    <row r="608" spans="1:8" ht="15" customHeight="1" x14ac:dyDescent="0.3">
      <c r="A608" s="133"/>
      <c r="B608" s="131">
        <f t="shared" si="19"/>
        <v>98</v>
      </c>
      <c r="C608" s="129" t="str">
        <f t="shared" si="18"/>
        <v>Essiccatori</v>
      </c>
      <c r="D608" s="107"/>
      <c r="E608" s="317"/>
      <c r="F608" s="338" t="s">
        <v>1802</v>
      </c>
      <c r="G608" s="339" t="s">
        <v>1667</v>
      </c>
      <c r="H608" s="340" t="s">
        <v>1709</v>
      </c>
    </row>
    <row r="609" spans="1:8" ht="15" customHeight="1" x14ac:dyDescent="0.3">
      <c r="A609" s="133"/>
      <c r="B609" s="131">
        <f t="shared" si="19"/>
        <v>99</v>
      </c>
      <c r="C609" s="129" t="str">
        <f t="shared" si="18"/>
        <v xml:space="preserve">Boiler a pompa di calore </v>
      </c>
      <c r="D609" s="107"/>
      <c r="E609" s="317"/>
      <c r="F609" s="338" t="s">
        <v>1804</v>
      </c>
      <c r="G609" s="339" t="s">
        <v>1695</v>
      </c>
      <c r="H609" s="340" t="s">
        <v>1710</v>
      </c>
    </row>
    <row r="610" spans="1:8" ht="15" customHeight="1" x14ac:dyDescent="0.3">
      <c r="A610" s="133"/>
      <c r="B610" s="131">
        <f t="shared" si="19"/>
        <v>100</v>
      </c>
      <c r="C610" s="129" t="str">
        <f t="shared" si="18"/>
        <v>Riscaldatori a induzione</v>
      </c>
      <c r="D610" s="107"/>
      <c r="E610" s="317"/>
      <c r="F610" s="338" t="s">
        <v>1805</v>
      </c>
      <c r="G610" s="339" t="s">
        <v>1668</v>
      </c>
      <c r="H610" s="340" t="s">
        <v>1711</v>
      </c>
    </row>
    <row r="611" spans="1:8" ht="15" customHeight="1" x14ac:dyDescent="0.3">
      <c r="A611" s="133"/>
      <c r="B611" s="131">
        <f t="shared" si="19"/>
        <v>101</v>
      </c>
      <c r="C611" s="129" t="str">
        <f t="shared" si="18"/>
        <v xml:space="preserve">Motori elettrici </v>
      </c>
      <c r="D611" s="107"/>
      <c r="E611" s="317"/>
      <c r="F611" s="338" t="s">
        <v>1806</v>
      </c>
      <c r="G611" s="339" t="s">
        <v>1669</v>
      </c>
      <c r="H611" s="340" t="s">
        <v>1712</v>
      </c>
    </row>
    <row r="612" spans="1:8" ht="15" customHeight="1" x14ac:dyDescent="0.3">
      <c r="A612" s="133"/>
      <c r="B612" s="131">
        <f t="shared" si="19"/>
        <v>102</v>
      </c>
      <c r="C612" s="129" t="str">
        <f t="shared" si="18"/>
        <v xml:space="preserve">Convertitori di frequenza </v>
      </c>
      <c r="D612" s="107"/>
      <c r="E612" s="317"/>
      <c r="F612" s="338" t="s">
        <v>1807</v>
      </c>
      <c r="G612" s="339" t="s">
        <v>1670</v>
      </c>
      <c r="H612" s="340" t="s">
        <v>1713</v>
      </c>
    </row>
    <row r="613" spans="1:8" ht="15" customHeight="1" x14ac:dyDescent="0.3">
      <c r="A613" s="107"/>
      <c r="B613" s="131">
        <f t="shared" si="19"/>
        <v>103</v>
      </c>
      <c r="C613" s="129" t="str">
        <f t="shared" si="18"/>
        <v>Sistemi a vuoto</v>
      </c>
      <c r="D613" s="107"/>
      <c r="E613" s="317"/>
      <c r="F613" s="338" t="s">
        <v>1635</v>
      </c>
      <c r="G613" s="339" t="s">
        <v>1671</v>
      </c>
      <c r="H613" s="340" t="s">
        <v>1714</v>
      </c>
    </row>
    <row r="614" spans="1:8" ht="15" customHeight="1" x14ac:dyDescent="0.3">
      <c r="A614" s="107"/>
      <c r="B614" s="131">
        <f t="shared" si="19"/>
        <v>104</v>
      </c>
      <c r="C614" s="129" t="str">
        <f t="shared" si="18"/>
        <v xml:space="preserve">Sistemi a vuoto con convertitore di frequenza </v>
      </c>
      <c r="D614" s="107"/>
      <c r="E614" s="317"/>
      <c r="F614" s="338" t="s">
        <v>1640</v>
      </c>
      <c r="G614" s="339" t="s">
        <v>1672</v>
      </c>
      <c r="H614" s="340" t="s">
        <v>1715</v>
      </c>
    </row>
    <row r="615" spans="1:8" ht="15" customHeight="1" x14ac:dyDescent="0.3">
      <c r="A615" s="107"/>
      <c r="B615" s="131">
        <f t="shared" si="19"/>
        <v>105</v>
      </c>
      <c r="C615" s="129" t="str">
        <f t="shared" si="18"/>
        <v xml:space="preserve">Sistemi a pompa </v>
      </c>
      <c r="D615" s="107"/>
      <c r="E615" s="317"/>
      <c r="F615" s="338" t="s">
        <v>1641</v>
      </c>
      <c r="G615" s="339" t="s">
        <v>1673</v>
      </c>
      <c r="H615" s="340" t="s">
        <v>1716</v>
      </c>
    </row>
    <row r="616" spans="1:8" ht="15" customHeight="1" x14ac:dyDescent="0.3">
      <c r="A616" s="107"/>
      <c r="B616" s="131">
        <f t="shared" si="19"/>
        <v>106</v>
      </c>
      <c r="C616" s="129" t="str">
        <f t="shared" si="18"/>
        <v>Sistemi a pompa con convertitore di frequenza</v>
      </c>
      <c r="D616" s="107"/>
      <c r="E616" s="317"/>
      <c r="F616" s="338" t="s">
        <v>1642</v>
      </c>
      <c r="G616" s="339" t="s">
        <v>1674</v>
      </c>
      <c r="H616" s="340" t="s">
        <v>1717</v>
      </c>
    </row>
    <row r="617" spans="1:8" ht="15" customHeight="1" x14ac:dyDescent="0.3">
      <c r="A617" s="107"/>
      <c r="B617" s="131">
        <f t="shared" si="19"/>
        <v>107</v>
      </c>
      <c r="C617" s="129" t="str">
        <f t="shared" si="18"/>
        <v>Pompe di circolazione (con rotore bagnato) per sistemi di riscaldamento</v>
      </c>
      <c r="D617" s="107"/>
      <c r="E617" s="317"/>
      <c r="F617" s="338" t="s">
        <v>1661</v>
      </c>
      <c r="G617" s="339" t="s">
        <v>1696</v>
      </c>
      <c r="H617" s="340" t="s">
        <v>1718</v>
      </c>
    </row>
    <row r="618" spans="1:8" ht="15" customHeight="1" x14ac:dyDescent="0.3">
      <c r="A618" s="107"/>
      <c r="B618" s="131">
        <f t="shared" si="19"/>
        <v>108</v>
      </c>
      <c r="C618" s="129" t="str">
        <f t="shared" si="18"/>
        <v xml:space="preserve">Sistemi di ventilazione </v>
      </c>
      <c r="D618" s="107"/>
      <c r="E618" s="317"/>
      <c r="F618" s="338" t="s">
        <v>1643</v>
      </c>
      <c r="G618" s="339" t="s">
        <v>1675</v>
      </c>
      <c r="H618" s="340" t="s">
        <v>1719</v>
      </c>
    </row>
    <row r="619" spans="1:8" ht="15" customHeight="1" x14ac:dyDescent="0.3">
      <c r="A619" s="107"/>
      <c r="B619" s="131">
        <f t="shared" si="19"/>
        <v>109</v>
      </c>
      <c r="C619" s="129" t="str">
        <f t="shared" si="18"/>
        <v>Sistemi di ventilazione con convertitore di frequenza</v>
      </c>
      <c r="D619" s="107"/>
      <c r="E619" s="317"/>
      <c r="F619" s="338" t="s">
        <v>1644</v>
      </c>
      <c r="G619" s="339" t="s">
        <v>1676</v>
      </c>
      <c r="H619" s="340" t="s">
        <v>1720</v>
      </c>
    </row>
    <row r="620" spans="1:8" ht="15" customHeight="1" x14ac:dyDescent="0.3">
      <c r="A620" s="107"/>
      <c r="B620" s="131">
        <f t="shared" si="19"/>
        <v>110</v>
      </c>
      <c r="C620" s="129" t="str">
        <f t="shared" si="18"/>
        <v xml:space="preserve">Impianti di refrigerazione (climatizzazione) </v>
      </c>
      <c r="D620" s="107"/>
      <c r="E620" s="317"/>
      <c r="F620" s="338" t="s">
        <v>1645</v>
      </c>
      <c r="G620" s="339" t="s">
        <v>1677</v>
      </c>
      <c r="H620" s="340" t="s">
        <v>1721</v>
      </c>
    </row>
    <row r="621" spans="1:8" ht="15" customHeight="1" x14ac:dyDescent="0.3">
      <c r="A621" s="107"/>
      <c r="B621" s="131">
        <f t="shared" si="19"/>
        <v>111</v>
      </c>
      <c r="C621" s="129" t="str">
        <f t="shared" si="18"/>
        <v xml:space="preserve">Impianti di refrigerazione (processo) </v>
      </c>
      <c r="D621" s="107"/>
      <c r="E621" s="317"/>
      <c r="F621" s="338" t="s">
        <v>1662</v>
      </c>
      <c r="G621" s="339" t="s">
        <v>1678</v>
      </c>
      <c r="H621" s="340" t="s">
        <v>1722</v>
      </c>
    </row>
    <row r="622" spans="1:8" ht="15" customHeight="1" x14ac:dyDescent="0.3">
      <c r="A622" s="107"/>
      <c r="B622" s="131">
        <f t="shared" si="19"/>
        <v>112</v>
      </c>
      <c r="C622" s="129" t="str">
        <f t="shared" si="18"/>
        <v>Compressori (senza olio)</v>
      </c>
      <c r="D622" s="107"/>
      <c r="E622" s="317"/>
      <c r="F622" s="338" t="s">
        <v>1663</v>
      </c>
      <c r="G622" s="339" t="s">
        <v>1679</v>
      </c>
      <c r="H622" s="340" t="s">
        <v>1723</v>
      </c>
    </row>
    <row r="623" spans="1:8" ht="15" customHeight="1" x14ac:dyDescent="0.3">
      <c r="A623" s="107"/>
      <c r="B623" s="131">
        <f t="shared" si="19"/>
        <v>113</v>
      </c>
      <c r="C623" s="129" t="str">
        <f t="shared" si="18"/>
        <v>Compressori (senza olio) con convertitore di frequenza</v>
      </c>
      <c r="D623" s="107"/>
      <c r="E623" s="317"/>
      <c r="F623" s="338" t="s">
        <v>1664</v>
      </c>
      <c r="G623" s="339" t="s">
        <v>1697</v>
      </c>
      <c r="H623" s="340" t="s">
        <v>1724</v>
      </c>
    </row>
    <row r="624" spans="1:8" ht="15" customHeight="1" x14ac:dyDescent="0.3">
      <c r="A624" s="107"/>
      <c r="B624" s="131">
        <f t="shared" si="19"/>
        <v>114</v>
      </c>
      <c r="C624" s="129" t="str">
        <f t="shared" si="18"/>
        <v xml:space="preserve">Compressori (a iniezione di olio) </v>
      </c>
      <c r="D624" s="107"/>
      <c r="E624" s="317"/>
      <c r="F624" s="338" t="s">
        <v>1646</v>
      </c>
      <c r="G624" s="339" t="s">
        <v>1698</v>
      </c>
      <c r="H624" s="340" t="s">
        <v>1725</v>
      </c>
    </row>
    <row r="625" spans="1:8" ht="15" customHeight="1" x14ac:dyDescent="0.3">
      <c r="A625" s="107"/>
      <c r="B625" s="131">
        <f t="shared" si="19"/>
        <v>115</v>
      </c>
      <c r="C625" s="129" t="str">
        <f t="shared" si="18"/>
        <v>Compressori (a iniezione di olio) con convertitore di frequenza</v>
      </c>
      <c r="D625" s="107"/>
      <c r="E625" s="317"/>
      <c r="F625" s="338" t="s">
        <v>1665</v>
      </c>
      <c r="G625" s="339" t="s">
        <v>1699</v>
      </c>
      <c r="H625" s="340" t="s">
        <v>1726</v>
      </c>
    </row>
    <row r="626" spans="1:8" ht="15" customHeight="1" x14ac:dyDescent="0.3">
      <c r="A626" s="107"/>
      <c r="B626" s="131">
        <f t="shared" si="19"/>
        <v>116</v>
      </c>
      <c r="C626" s="129" t="str">
        <f t="shared" si="18"/>
        <v>Ascensori e scale mobili</v>
      </c>
      <c r="D626" s="107"/>
      <c r="E626" s="317"/>
      <c r="F626" s="338" t="s">
        <v>1647</v>
      </c>
      <c r="G626" s="339" t="s">
        <v>1680</v>
      </c>
      <c r="H626" s="340" t="s">
        <v>1727</v>
      </c>
    </row>
    <row r="627" spans="1:8" ht="15" customHeight="1" x14ac:dyDescent="0.3">
      <c r="A627" s="107"/>
      <c r="B627" s="131">
        <f t="shared" si="19"/>
        <v>117</v>
      </c>
      <c r="C627" s="129" t="str">
        <f t="shared" si="18"/>
        <v>Gruppi di continuità (UPS)</v>
      </c>
      <c r="D627" s="107"/>
      <c r="E627" s="317"/>
      <c r="F627" s="338" t="s">
        <v>1648</v>
      </c>
      <c r="G627" s="339" t="s">
        <v>1681</v>
      </c>
      <c r="H627" s="340" t="s">
        <v>1728</v>
      </c>
    </row>
    <row r="628" spans="1:8" ht="15" customHeight="1" x14ac:dyDescent="0.3">
      <c r="A628" s="107"/>
      <c r="B628" s="131">
        <f t="shared" si="19"/>
        <v>118</v>
      </c>
      <c r="C628" s="129" t="str">
        <f t="shared" si="18"/>
        <v xml:space="preserve">Raddrizzatori </v>
      </c>
      <c r="D628" s="107"/>
      <c r="E628" s="317"/>
      <c r="F628" s="338" t="s">
        <v>1649</v>
      </c>
      <c r="G628" s="339" t="s">
        <v>1682</v>
      </c>
      <c r="H628" s="340" t="s">
        <v>1729</v>
      </c>
    </row>
    <row r="629" spans="1:8" ht="15" customHeight="1" x14ac:dyDescent="0.3">
      <c r="A629" s="107"/>
      <c r="B629" s="131">
        <f t="shared" si="19"/>
        <v>119</v>
      </c>
      <c r="C629" s="129" t="str">
        <f t="shared" si="18"/>
        <v>Impianti ORC per la produzione in proprio di energia elettrica</v>
      </c>
      <c r="D629" s="107"/>
      <c r="E629" s="317"/>
      <c r="F629" s="338" t="s">
        <v>1650</v>
      </c>
      <c r="G629" s="339" t="s">
        <v>1683</v>
      </c>
      <c r="H629" s="340" t="s">
        <v>1730</v>
      </c>
    </row>
    <row r="630" spans="1:8" ht="15" customHeight="1" x14ac:dyDescent="0.3">
      <c r="A630" s="107"/>
      <c r="B630" s="131">
        <f t="shared" si="19"/>
        <v>120</v>
      </c>
      <c r="C630" s="129" t="str">
        <f t="shared" si="18"/>
        <v>Impianti per l'espansione di gas per la produzione in proprio di energia elettrica</v>
      </c>
      <c r="D630" s="107"/>
      <c r="E630" s="317"/>
      <c r="F630" s="338" t="s">
        <v>1651</v>
      </c>
      <c r="G630" s="339" t="s">
        <v>1684</v>
      </c>
      <c r="H630" s="340" t="s">
        <v>1731</v>
      </c>
    </row>
    <row r="631" spans="1:8" ht="15" customHeight="1" x14ac:dyDescent="0.3">
      <c r="A631" s="107"/>
      <c r="B631" s="131">
        <f t="shared" si="19"/>
        <v>121</v>
      </c>
      <c r="C631" s="129" t="str">
        <f t="shared" si="18"/>
        <v>Trasformatori</v>
      </c>
      <c r="D631" s="107"/>
      <c r="E631" s="317"/>
      <c r="F631" s="338" t="s">
        <v>1652</v>
      </c>
      <c r="G631" s="339" t="s">
        <v>1685</v>
      </c>
      <c r="H631" s="340" t="s">
        <v>1732</v>
      </c>
    </row>
    <row r="632" spans="1:8" ht="15" customHeight="1" x14ac:dyDescent="0.3">
      <c r="A632" s="107"/>
      <c r="B632" s="131">
        <f t="shared" si="19"/>
        <v>122</v>
      </c>
      <c r="C632" s="129" t="str">
        <f t="shared" si="18"/>
        <v>Illuminazione interna (capannoni)</v>
      </c>
      <c r="D632" s="107"/>
      <c r="E632" s="317"/>
      <c r="F632" s="338" t="s">
        <v>1653</v>
      </c>
      <c r="G632" s="339" t="s">
        <v>1686</v>
      </c>
      <c r="H632" s="340" t="s">
        <v>1733</v>
      </c>
    </row>
    <row r="633" spans="1:8" ht="15" customHeight="1" x14ac:dyDescent="0.3">
      <c r="A633" s="107"/>
      <c r="B633" s="131">
        <f t="shared" si="19"/>
        <v>123</v>
      </c>
      <c r="C633" s="129" t="str">
        <f t="shared" si="18"/>
        <v>Illuminazione interna (uffici)</v>
      </c>
      <c r="D633" s="107"/>
      <c r="E633" s="317"/>
      <c r="F633" s="338" t="s">
        <v>1654</v>
      </c>
      <c r="G633" s="339" t="s">
        <v>1687</v>
      </c>
      <c r="H633" s="340" t="s">
        <v>1734</v>
      </c>
    </row>
    <row r="634" spans="1:8" ht="15" customHeight="1" x14ac:dyDescent="0.3">
      <c r="A634" s="107"/>
      <c r="B634" s="131">
        <f t="shared" si="19"/>
        <v>124</v>
      </c>
      <c r="C634" s="129" t="str">
        <f t="shared" si="18"/>
        <v>Illuminazione interna (superfici di vendita)</v>
      </c>
      <c r="D634" s="107"/>
      <c r="E634" s="317"/>
      <c r="F634" s="338" t="s">
        <v>1655</v>
      </c>
      <c r="G634" s="339" t="s">
        <v>1688</v>
      </c>
      <c r="H634" s="340" t="s">
        <v>1735</v>
      </c>
    </row>
    <row r="635" spans="1:8" ht="15" customHeight="1" x14ac:dyDescent="0.3">
      <c r="A635" s="107"/>
      <c r="B635" s="131">
        <f t="shared" si="19"/>
        <v>125</v>
      </c>
      <c r="C635" s="129" t="str">
        <f t="shared" si="18"/>
        <v>Illuminazione interna (altro)</v>
      </c>
      <c r="D635" s="107"/>
      <c r="E635" s="317"/>
      <c r="F635" s="338" t="s">
        <v>1656</v>
      </c>
      <c r="G635" s="339" t="s">
        <v>1689</v>
      </c>
      <c r="H635" s="340" t="s">
        <v>1736</v>
      </c>
    </row>
    <row r="636" spans="1:8" ht="15" customHeight="1" x14ac:dyDescent="0.3">
      <c r="A636" s="107"/>
      <c r="B636" s="131">
        <f t="shared" si="19"/>
        <v>126</v>
      </c>
      <c r="C636" s="129" t="str">
        <f t="shared" si="18"/>
        <v>Illuminazione interna (edifici residenziali)</v>
      </c>
      <c r="D636" s="107"/>
      <c r="E636" s="317"/>
      <c r="F636" s="338" t="s">
        <v>1657</v>
      </c>
      <c r="G636" s="339" t="s">
        <v>1690</v>
      </c>
      <c r="H636" s="340" t="s">
        <v>1737</v>
      </c>
    </row>
    <row r="637" spans="1:8" ht="15" customHeight="1" x14ac:dyDescent="0.3">
      <c r="A637" s="107"/>
      <c r="B637" s="131">
        <f t="shared" si="19"/>
        <v>127</v>
      </c>
      <c r="C637" s="129" t="str">
        <f t="shared" si="18"/>
        <v>Illuminazione esterna (strade e superfici di circolazione)</v>
      </c>
      <c r="D637" s="107"/>
      <c r="E637" s="317"/>
      <c r="F637" s="338" t="s">
        <v>1658</v>
      </c>
      <c r="G637" s="339" t="s">
        <v>1691</v>
      </c>
      <c r="H637" s="340" t="s">
        <v>1738</v>
      </c>
    </row>
    <row r="638" spans="1:8" ht="15" customHeight="1" x14ac:dyDescent="0.3">
      <c r="A638" s="107"/>
      <c r="B638" s="131">
        <f t="shared" si="19"/>
        <v>128</v>
      </c>
      <c r="C638" s="129" t="str">
        <f t="shared" si="18"/>
        <v>Illuminazione esterna (gallerie)</v>
      </c>
      <c r="D638" s="107"/>
      <c r="E638" s="317"/>
      <c r="F638" s="338" t="s">
        <v>1659</v>
      </c>
      <c r="G638" s="339" t="s">
        <v>1692</v>
      </c>
      <c r="H638" s="340" t="s">
        <v>1739</v>
      </c>
    </row>
    <row r="639" spans="1:8" ht="15" customHeight="1" x14ac:dyDescent="0.3">
      <c r="A639" s="107"/>
      <c r="B639" s="131">
        <f t="shared" si="19"/>
        <v>129</v>
      </c>
      <c r="C639" s="129" t="str">
        <f t="shared" si="18"/>
        <v xml:space="preserve">Illuminazione esterna (opere architettoniche) </v>
      </c>
      <c r="D639" s="107"/>
      <c r="E639" s="317"/>
      <c r="F639" s="338" t="s">
        <v>1702</v>
      </c>
      <c r="G639" s="339" t="s">
        <v>1693</v>
      </c>
      <c r="H639" s="340" t="s">
        <v>1740</v>
      </c>
    </row>
    <row r="640" spans="1:8" ht="15" customHeight="1" x14ac:dyDescent="0.3">
      <c r="A640" s="107"/>
      <c r="B640" s="131">
        <f t="shared" si="19"/>
        <v>130</v>
      </c>
      <c r="C640" s="129" t="str">
        <f t="shared" si="18"/>
        <v>Altre tecnologie</v>
      </c>
      <c r="D640" s="107"/>
      <c r="E640" s="317"/>
      <c r="F640" s="312" t="s">
        <v>1660</v>
      </c>
      <c r="G640" s="318" t="s">
        <v>1694</v>
      </c>
      <c r="H640" s="325" t="s">
        <v>1741</v>
      </c>
    </row>
    <row r="641" spans="1:8" ht="15" customHeight="1" x14ac:dyDescent="0.3">
      <c r="A641" s="107"/>
      <c r="B641" s="131">
        <f t="shared" si="19"/>
        <v>131</v>
      </c>
      <c r="C641" s="129" t="str">
        <f t="shared" si="18"/>
        <v xml:space="preserve">Tecnologie </v>
      </c>
      <c r="D641" s="107"/>
      <c r="E641" s="317"/>
      <c r="F641" s="312" t="s">
        <v>1700</v>
      </c>
      <c r="G641" s="318" t="s">
        <v>1701</v>
      </c>
      <c r="H641" s="325" t="s">
        <v>1742</v>
      </c>
    </row>
    <row r="642" spans="1:8" ht="15" customHeight="1" x14ac:dyDescent="0.3">
      <c r="A642" s="107"/>
      <c r="B642" s="131">
        <f t="shared" si="19"/>
        <v>132</v>
      </c>
      <c r="C642" s="129" t="str">
        <f t="shared" si="18"/>
        <v>Industria</v>
      </c>
      <c r="D642" s="107"/>
      <c r="E642" s="317"/>
      <c r="F642" s="312" t="s">
        <v>1630</v>
      </c>
      <c r="G642" s="318" t="s">
        <v>1630</v>
      </c>
      <c r="H642" s="325" t="s">
        <v>1743</v>
      </c>
    </row>
    <row r="643" spans="1:8" ht="15" customHeight="1" x14ac:dyDescent="0.3">
      <c r="A643" s="107"/>
      <c r="B643" s="131">
        <f t="shared" si="19"/>
        <v>133</v>
      </c>
      <c r="C643" s="129" t="str">
        <f t="shared" si="18"/>
        <v>Industria (PMI)</v>
      </c>
      <c r="D643" s="107"/>
      <c r="E643" s="317"/>
      <c r="F643" s="333" t="s">
        <v>1791</v>
      </c>
      <c r="G643" s="318" t="s">
        <v>1783</v>
      </c>
      <c r="H643" s="325" t="s">
        <v>1796</v>
      </c>
    </row>
    <row r="644" spans="1:8" ht="15" customHeight="1" x14ac:dyDescent="0.3">
      <c r="A644" s="107"/>
      <c r="B644" s="131">
        <f t="shared" si="19"/>
        <v>134</v>
      </c>
      <c r="C644" s="129" t="str">
        <f t="shared" si="18"/>
        <v>Artigianato</v>
      </c>
      <c r="D644" s="107"/>
      <c r="E644" s="317"/>
      <c r="F644" s="312" t="s">
        <v>1632</v>
      </c>
      <c r="G644" s="318" t="s">
        <v>1704</v>
      </c>
      <c r="H644" s="325" t="s">
        <v>1744</v>
      </c>
    </row>
    <row r="645" spans="1:8" ht="15" customHeight="1" x14ac:dyDescent="0.3">
      <c r="A645" s="107"/>
      <c r="B645" s="131">
        <f t="shared" si="19"/>
        <v>135</v>
      </c>
      <c r="C645" s="129" t="str">
        <f t="shared" ref="C645:C690" si="20">IF($B$1="f",F645,IF($B$1="d",G645,H645))</f>
        <v>Artigianato (PMI)</v>
      </c>
      <c r="D645" s="107"/>
      <c r="E645" s="317"/>
      <c r="F645" s="333" t="s">
        <v>1792</v>
      </c>
      <c r="G645" s="318" t="s">
        <v>1784</v>
      </c>
      <c r="H645" s="325" t="s">
        <v>1797</v>
      </c>
    </row>
    <row r="646" spans="1:8" ht="15" customHeight="1" x14ac:dyDescent="0.3">
      <c r="A646" s="107"/>
      <c r="B646" s="131">
        <f t="shared" ref="B646:B699" si="21">B645+1</f>
        <v>136</v>
      </c>
      <c r="C646" s="129" t="str">
        <f t="shared" si="20"/>
        <v>Commercio</v>
      </c>
      <c r="D646" s="107"/>
      <c r="E646" s="317"/>
      <c r="F646" s="312" t="s">
        <v>1634</v>
      </c>
      <c r="G646" s="318" t="s">
        <v>1785</v>
      </c>
      <c r="H646" s="325" t="s">
        <v>1798</v>
      </c>
    </row>
    <row r="647" spans="1:8" ht="15" customHeight="1" x14ac:dyDescent="0.3">
      <c r="A647" s="107"/>
      <c r="B647" s="131">
        <f t="shared" si="21"/>
        <v>137</v>
      </c>
      <c r="C647" s="129" t="str">
        <f t="shared" si="20"/>
        <v>Commercio (PMI)</v>
      </c>
      <c r="D647" s="107"/>
      <c r="E647" s="317"/>
      <c r="F647" s="333" t="s">
        <v>1793</v>
      </c>
      <c r="G647" s="318" t="s">
        <v>1705</v>
      </c>
      <c r="H647" s="325" t="s">
        <v>1745</v>
      </c>
    </row>
    <row r="648" spans="1:8" ht="15" customHeight="1" x14ac:dyDescent="0.3">
      <c r="A648" s="107"/>
      <c r="B648" s="131">
        <f t="shared" si="21"/>
        <v>138</v>
      </c>
      <c r="C648" s="129" t="str">
        <f t="shared" si="20"/>
        <v>Settore</v>
      </c>
      <c r="D648" s="107"/>
      <c r="E648" s="317"/>
      <c r="F648" s="312" t="s">
        <v>1853</v>
      </c>
      <c r="G648" s="318" t="s">
        <v>1854</v>
      </c>
      <c r="H648" s="325" t="s">
        <v>1855</v>
      </c>
    </row>
    <row r="649" spans="1:8" ht="15" customHeight="1" x14ac:dyDescent="0.3">
      <c r="A649" s="107"/>
      <c r="B649" s="131">
        <f t="shared" si="21"/>
        <v>139</v>
      </c>
      <c r="C649" s="129" t="str">
        <f t="shared" si="20"/>
        <v>Servizi  (PMI)</v>
      </c>
      <c r="D649" s="107"/>
      <c r="E649" s="317"/>
      <c r="F649" s="312" t="s">
        <v>1794</v>
      </c>
      <c r="G649" s="318" t="s">
        <v>1786</v>
      </c>
      <c r="H649" s="325" t="s">
        <v>1799</v>
      </c>
    </row>
    <row r="650" spans="1:8" ht="15" customHeight="1" x14ac:dyDescent="0.3">
      <c r="A650" s="107"/>
      <c r="B650" s="131">
        <f t="shared" si="21"/>
        <v>140</v>
      </c>
      <c r="C650" s="129" t="str">
        <f t="shared" si="20"/>
        <v>Agricoltura</v>
      </c>
      <c r="D650" s="107"/>
      <c r="E650" s="317"/>
      <c r="F650" s="312" t="s">
        <v>1636</v>
      </c>
      <c r="G650" s="318" t="s">
        <v>1706</v>
      </c>
      <c r="H650" s="325" t="s">
        <v>1746</v>
      </c>
    </row>
    <row r="651" spans="1:8" ht="15" customHeight="1" x14ac:dyDescent="0.3">
      <c r="A651" s="107"/>
      <c r="B651" s="131">
        <f t="shared" si="21"/>
        <v>141</v>
      </c>
      <c r="C651" s="129" t="str">
        <f t="shared" si="20"/>
        <v>Agricultura (PMI)</v>
      </c>
      <c r="D651" s="107"/>
      <c r="E651" s="317"/>
      <c r="F651" s="312" t="s">
        <v>1795</v>
      </c>
      <c r="G651" s="318" t="s">
        <v>1787</v>
      </c>
      <c r="H651" s="325" t="s">
        <v>1800</v>
      </c>
    </row>
    <row r="652" spans="1:8" ht="15" customHeight="1" x14ac:dyDescent="0.3">
      <c r="A652" s="107"/>
      <c r="B652" s="131">
        <f t="shared" si="21"/>
        <v>142</v>
      </c>
      <c r="C652" s="129" t="str">
        <f t="shared" si="20"/>
        <v>Economie domestiche</v>
      </c>
      <c r="D652" s="107"/>
      <c r="E652" s="317"/>
      <c r="F652" s="312" t="s">
        <v>1638</v>
      </c>
      <c r="G652" s="318" t="s">
        <v>1707</v>
      </c>
      <c r="H652" s="325" t="s">
        <v>1747</v>
      </c>
    </row>
    <row r="653" spans="1:8" ht="15" customHeight="1" x14ac:dyDescent="0.3">
      <c r="A653" s="107"/>
      <c r="B653" s="131">
        <f t="shared" si="21"/>
        <v>143</v>
      </c>
      <c r="C653" s="129" t="str">
        <f t="shared" si="20"/>
        <v xml:space="preserve">Forni </v>
      </c>
      <c r="D653" s="107"/>
      <c r="E653" s="317"/>
      <c r="F653" s="312" t="s">
        <v>1629</v>
      </c>
      <c r="G653" s="318" t="s">
        <v>1666</v>
      </c>
      <c r="H653" s="325" t="s">
        <v>1708</v>
      </c>
    </row>
    <row r="654" spans="1:8" ht="15" customHeight="1" x14ac:dyDescent="0.3">
      <c r="A654" s="107"/>
      <c r="B654" s="131">
        <f t="shared" si="21"/>
        <v>144</v>
      </c>
      <c r="C654" s="129" t="str">
        <f t="shared" si="20"/>
        <v>Essiccatori</v>
      </c>
      <c r="D654" s="107"/>
      <c r="E654" s="317"/>
      <c r="F654" s="312" t="s">
        <v>1631</v>
      </c>
      <c r="G654" s="318" t="s">
        <v>1667</v>
      </c>
      <c r="H654" s="325" t="s">
        <v>1709</v>
      </c>
    </row>
    <row r="655" spans="1:8" ht="15" customHeight="1" x14ac:dyDescent="0.3">
      <c r="A655" s="107"/>
      <c r="B655" s="131">
        <f t="shared" si="21"/>
        <v>145</v>
      </c>
      <c r="C655" s="129" t="str">
        <f t="shared" si="20"/>
        <v xml:space="preserve">Boiler a pompa di calore </v>
      </c>
      <c r="D655" s="107"/>
      <c r="E655" s="317"/>
      <c r="F655" s="312" t="s">
        <v>1633</v>
      </c>
      <c r="G655" s="318" t="s">
        <v>1695</v>
      </c>
      <c r="H655" s="325" t="s">
        <v>1710</v>
      </c>
    </row>
    <row r="656" spans="1:8" ht="15" customHeight="1" x14ac:dyDescent="0.3">
      <c r="A656" s="107"/>
      <c r="B656" s="131">
        <f t="shared" si="21"/>
        <v>146</v>
      </c>
      <c r="C656" s="129" t="str">
        <f t="shared" si="20"/>
        <v>Riscaldatori a induzione</v>
      </c>
      <c r="D656" s="107"/>
      <c r="E656" s="317"/>
      <c r="F656" s="312" t="s">
        <v>1635</v>
      </c>
      <c r="G656" s="318" t="s">
        <v>1668</v>
      </c>
      <c r="H656" s="325" t="s">
        <v>1711</v>
      </c>
    </row>
    <row r="657" spans="1:8" ht="15" customHeight="1" x14ac:dyDescent="0.3">
      <c r="A657" s="107"/>
      <c r="B657" s="131">
        <f t="shared" si="21"/>
        <v>147</v>
      </c>
      <c r="C657" s="129" t="str">
        <f t="shared" si="20"/>
        <v>Motori elettrici &lt; 20 kW</v>
      </c>
      <c r="D657" s="107"/>
      <c r="E657" s="317"/>
      <c r="F657" s="312" t="s">
        <v>1808</v>
      </c>
      <c r="G657" s="318" t="s">
        <v>1809</v>
      </c>
      <c r="H657" s="325" t="s">
        <v>1819</v>
      </c>
    </row>
    <row r="658" spans="1:8" ht="15" customHeight="1" x14ac:dyDescent="0.3">
      <c r="A658" s="107"/>
      <c r="B658" s="131">
        <f t="shared" si="21"/>
        <v>148</v>
      </c>
      <c r="C658" s="129" t="str">
        <f t="shared" si="20"/>
        <v>Motori elettrici o sistemi di trazione ≥ 20 kW</v>
      </c>
      <c r="D658" s="107"/>
      <c r="E658" s="317"/>
      <c r="F658" s="312" t="s">
        <v>1874</v>
      </c>
      <c r="G658" s="318" t="s">
        <v>1875</v>
      </c>
      <c r="H658" s="325" t="s">
        <v>1876</v>
      </c>
    </row>
    <row r="659" spans="1:8" ht="15" customHeight="1" x14ac:dyDescent="0.3">
      <c r="A659" s="107"/>
      <c r="B659" s="131">
        <f t="shared" si="21"/>
        <v>149</v>
      </c>
      <c r="C659" s="129" t="str">
        <f t="shared" si="20"/>
        <v xml:space="preserve">Convertitori di frequenza </v>
      </c>
      <c r="D659" s="107"/>
      <c r="E659" s="317"/>
      <c r="F659" s="312" t="s">
        <v>1637</v>
      </c>
      <c r="G659" s="318" t="s">
        <v>1670</v>
      </c>
      <c r="H659" s="325" t="s">
        <v>1713</v>
      </c>
    </row>
    <row r="660" spans="1:8" ht="15" customHeight="1" x14ac:dyDescent="0.3">
      <c r="A660" s="107"/>
      <c r="B660" s="131">
        <f t="shared" si="21"/>
        <v>150</v>
      </c>
      <c r="C660" s="129" t="str">
        <f t="shared" si="20"/>
        <v xml:space="preserve">Sistemi a vuoto </v>
      </c>
      <c r="D660" s="107"/>
      <c r="E660" s="317"/>
      <c r="F660" s="312" t="s">
        <v>1639</v>
      </c>
      <c r="G660" s="318" t="s">
        <v>1671</v>
      </c>
      <c r="H660" s="325" t="s">
        <v>1810</v>
      </c>
    </row>
    <row r="661" spans="1:8" ht="15" customHeight="1" x14ac:dyDescent="0.3">
      <c r="A661" s="107"/>
      <c r="B661" s="131">
        <f t="shared" si="21"/>
        <v>151</v>
      </c>
      <c r="C661" s="129" t="str">
        <f t="shared" si="20"/>
        <v xml:space="preserve">Sistemi a vuoto con convertitore di frequenza </v>
      </c>
      <c r="D661" s="107"/>
      <c r="E661" s="317"/>
      <c r="F661" s="312" t="s">
        <v>1640</v>
      </c>
      <c r="G661" s="318" t="s">
        <v>1672</v>
      </c>
      <c r="H661" s="325" t="s">
        <v>1715</v>
      </c>
    </row>
    <row r="662" spans="1:8" ht="15" customHeight="1" x14ac:dyDescent="0.3">
      <c r="A662" s="107"/>
      <c r="B662" s="131">
        <f t="shared" si="21"/>
        <v>152</v>
      </c>
      <c r="C662" s="129" t="str">
        <f t="shared" si="20"/>
        <v xml:space="preserve">Sistemi a pompa </v>
      </c>
      <c r="D662" s="107"/>
      <c r="E662" s="317"/>
      <c r="F662" s="312" t="s">
        <v>1641</v>
      </c>
      <c r="G662" s="318" t="s">
        <v>1673</v>
      </c>
      <c r="H662" s="325" t="s">
        <v>1716</v>
      </c>
    </row>
    <row r="663" spans="1:8" ht="15" customHeight="1" x14ac:dyDescent="0.3">
      <c r="A663" s="107"/>
      <c r="B663" s="131">
        <f t="shared" si="21"/>
        <v>153</v>
      </c>
      <c r="C663" s="129" t="str">
        <f t="shared" si="20"/>
        <v xml:space="preserve">Sistemi a pompa con convertitore di frequenza </v>
      </c>
      <c r="D663" s="107"/>
      <c r="E663" s="317"/>
      <c r="F663" s="312" t="s">
        <v>1642</v>
      </c>
      <c r="G663" s="318" t="s">
        <v>1674</v>
      </c>
      <c r="H663" s="325" t="s">
        <v>1811</v>
      </c>
    </row>
    <row r="664" spans="1:8" ht="15" customHeight="1" x14ac:dyDescent="0.3">
      <c r="A664" s="107"/>
      <c r="B664" s="131">
        <f t="shared" si="21"/>
        <v>154</v>
      </c>
      <c r="C664" s="129" t="str">
        <f t="shared" si="20"/>
        <v xml:space="preserve">Pompe di circolazione (con rotore bagnato) per sistemi di riscaldamento </v>
      </c>
      <c r="D664" s="107"/>
      <c r="E664" s="317"/>
      <c r="F664" s="312" t="s">
        <v>1661</v>
      </c>
      <c r="G664" s="318" t="s">
        <v>1696</v>
      </c>
      <c r="H664" s="325" t="s">
        <v>1812</v>
      </c>
    </row>
    <row r="665" spans="1:8" ht="15" customHeight="1" x14ac:dyDescent="0.3">
      <c r="A665" s="107"/>
      <c r="B665" s="131">
        <f t="shared" si="21"/>
        <v>155</v>
      </c>
      <c r="C665" s="129" t="str">
        <f t="shared" si="20"/>
        <v xml:space="preserve">Sistemi di ventilazione con convertitore di frequenza </v>
      </c>
      <c r="D665" s="107"/>
      <c r="E665" s="317"/>
      <c r="F665" s="312" t="s">
        <v>1643</v>
      </c>
      <c r="G665" s="318" t="s">
        <v>1675</v>
      </c>
      <c r="H665" s="325" t="s">
        <v>1813</v>
      </c>
    </row>
    <row r="666" spans="1:8" ht="15" customHeight="1" x14ac:dyDescent="0.3">
      <c r="A666" s="107"/>
      <c r="B666" s="131">
        <f t="shared" si="21"/>
        <v>156</v>
      </c>
      <c r="C666" s="129" t="str">
        <f t="shared" si="20"/>
        <v>Sistemi di ventilazione</v>
      </c>
      <c r="D666" s="107"/>
      <c r="E666" s="317"/>
      <c r="F666" s="312" t="s">
        <v>1644</v>
      </c>
      <c r="G666" s="318" t="s">
        <v>1676</v>
      </c>
      <c r="H666" s="325" t="s">
        <v>1814</v>
      </c>
    </row>
    <row r="667" spans="1:8" ht="15" customHeight="1" x14ac:dyDescent="0.3">
      <c r="A667" s="107"/>
      <c r="B667" s="131">
        <f t="shared" si="21"/>
        <v>157</v>
      </c>
      <c r="C667" s="129" t="str">
        <f t="shared" si="20"/>
        <v xml:space="preserve">Impianti di refrigerazione (climatizzazione) </v>
      </c>
      <c r="D667" s="107"/>
      <c r="E667" s="317"/>
      <c r="F667" s="312" t="s">
        <v>1645</v>
      </c>
      <c r="G667" s="318" t="s">
        <v>1677</v>
      </c>
      <c r="H667" s="325" t="s">
        <v>1721</v>
      </c>
    </row>
    <row r="668" spans="1:8" ht="15" customHeight="1" x14ac:dyDescent="0.3">
      <c r="A668" s="107"/>
      <c r="B668" s="131">
        <f t="shared" si="21"/>
        <v>158</v>
      </c>
      <c r="C668" s="129" t="str">
        <f t="shared" si="20"/>
        <v>Impianti di refrigerazione (processo)</v>
      </c>
      <c r="D668" s="107"/>
      <c r="E668" s="317"/>
      <c r="F668" s="312" t="s">
        <v>1662</v>
      </c>
      <c r="G668" s="318" t="s">
        <v>1678</v>
      </c>
      <c r="H668" s="325" t="s">
        <v>1815</v>
      </c>
    </row>
    <row r="669" spans="1:8" ht="15" customHeight="1" x14ac:dyDescent="0.3">
      <c r="A669" s="107"/>
      <c r="B669" s="131">
        <f t="shared" si="21"/>
        <v>159</v>
      </c>
      <c r="C669" s="129" t="str">
        <f t="shared" si="20"/>
        <v xml:space="preserve">Compressori (senza olio) </v>
      </c>
      <c r="D669" s="107"/>
      <c r="E669" s="317"/>
      <c r="F669" s="312" t="s">
        <v>1663</v>
      </c>
      <c r="G669" s="318" t="s">
        <v>1679</v>
      </c>
      <c r="H669" s="325" t="s">
        <v>1816</v>
      </c>
    </row>
    <row r="670" spans="1:8" ht="15" customHeight="1" x14ac:dyDescent="0.3">
      <c r="A670" s="107"/>
      <c r="B670" s="131">
        <f t="shared" si="21"/>
        <v>160</v>
      </c>
      <c r="C670" s="129" t="str">
        <f t="shared" si="20"/>
        <v>Compressori (senza olio) con convertitore di frequenza</v>
      </c>
      <c r="D670" s="107"/>
      <c r="E670" s="317"/>
      <c r="F670" s="312" t="s">
        <v>1664</v>
      </c>
      <c r="G670" s="318" t="s">
        <v>1697</v>
      </c>
      <c r="H670" s="325" t="s">
        <v>1724</v>
      </c>
    </row>
    <row r="671" spans="1:8" ht="15" customHeight="1" x14ac:dyDescent="0.3">
      <c r="A671" s="107"/>
      <c r="B671" s="131">
        <f t="shared" si="21"/>
        <v>161</v>
      </c>
      <c r="C671" s="129" t="str">
        <f t="shared" si="20"/>
        <v>Compressori (a iniezione di olio)</v>
      </c>
      <c r="D671" s="107"/>
      <c r="E671" s="317"/>
      <c r="F671" s="312" t="s">
        <v>1646</v>
      </c>
      <c r="G671" s="318" t="s">
        <v>1698</v>
      </c>
      <c r="H671" s="325" t="s">
        <v>1817</v>
      </c>
    </row>
    <row r="672" spans="1:8" ht="15" customHeight="1" x14ac:dyDescent="0.3">
      <c r="A672" s="107"/>
      <c r="B672" s="131">
        <f t="shared" si="21"/>
        <v>162</v>
      </c>
      <c r="C672" s="129" t="str">
        <f t="shared" si="20"/>
        <v>Compressori (a iniezione di olio) kW con convertitore di frequenza</v>
      </c>
      <c r="D672" s="107"/>
      <c r="E672" s="317"/>
      <c r="F672" s="312" t="s">
        <v>1665</v>
      </c>
      <c r="G672" s="318" t="s">
        <v>1699</v>
      </c>
      <c r="H672" s="325" t="s">
        <v>1818</v>
      </c>
    </row>
    <row r="673" spans="1:8" ht="15" customHeight="1" x14ac:dyDescent="0.3">
      <c r="A673" s="107"/>
      <c r="B673" s="131">
        <f t="shared" si="21"/>
        <v>163</v>
      </c>
      <c r="C673" s="129" t="str">
        <f t="shared" si="20"/>
        <v>Ascensori e scale mobili</v>
      </c>
      <c r="D673" s="107"/>
      <c r="E673" s="317"/>
      <c r="F673" s="312" t="s">
        <v>1647</v>
      </c>
      <c r="G673" s="318" t="s">
        <v>1680</v>
      </c>
      <c r="H673" s="325" t="s">
        <v>1727</v>
      </c>
    </row>
    <row r="674" spans="1:8" ht="15" customHeight="1" x14ac:dyDescent="0.3">
      <c r="A674" s="107"/>
      <c r="B674" s="131">
        <f t="shared" si="21"/>
        <v>164</v>
      </c>
      <c r="C674" s="129" t="str">
        <f t="shared" si="20"/>
        <v>Gruppi di continuità (UPS)</v>
      </c>
      <c r="D674" s="107"/>
      <c r="E674" s="317"/>
      <c r="F674" s="312" t="s">
        <v>1648</v>
      </c>
      <c r="G674" s="318" t="s">
        <v>1681</v>
      </c>
      <c r="H674" s="325" t="s">
        <v>1728</v>
      </c>
    </row>
    <row r="675" spans="1:8" ht="15" customHeight="1" x14ac:dyDescent="0.3">
      <c r="A675" s="107"/>
      <c r="B675" s="131">
        <f t="shared" si="21"/>
        <v>165</v>
      </c>
      <c r="C675" s="129" t="str">
        <f t="shared" si="20"/>
        <v>Raddrizzatori ≥ 50 kW</v>
      </c>
      <c r="D675" s="107"/>
      <c r="E675" s="317"/>
      <c r="F675" s="312" t="s">
        <v>1832</v>
      </c>
      <c r="G675" s="318" t="s">
        <v>1833</v>
      </c>
      <c r="H675" s="325" t="s">
        <v>1834</v>
      </c>
    </row>
    <row r="676" spans="1:8" ht="15" customHeight="1" x14ac:dyDescent="0.3">
      <c r="A676" s="107"/>
      <c r="B676" s="131">
        <f t="shared" si="21"/>
        <v>166</v>
      </c>
      <c r="C676" s="129" t="str">
        <f t="shared" si="20"/>
        <v>Raddrizzatori &lt; 50 kW</v>
      </c>
      <c r="D676" s="107"/>
      <c r="E676" s="317"/>
      <c r="F676" s="312" t="s">
        <v>1835</v>
      </c>
      <c r="G676" s="318" t="s">
        <v>1836</v>
      </c>
      <c r="H676" s="325" t="s">
        <v>1837</v>
      </c>
    </row>
    <row r="677" spans="1:8" ht="15" customHeight="1" x14ac:dyDescent="0.3">
      <c r="A677" s="107"/>
      <c r="B677" s="131">
        <f t="shared" si="21"/>
        <v>167</v>
      </c>
      <c r="C677" s="129" t="str">
        <f t="shared" si="20"/>
        <v>Impianti ORC per la produzione in proprio di energia elettrica</v>
      </c>
      <c r="D677" s="107"/>
      <c r="E677" s="317"/>
      <c r="F677" s="312" t="s">
        <v>1650</v>
      </c>
      <c r="G677" s="318" t="s">
        <v>1683</v>
      </c>
      <c r="H677" s="325" t="s">
        <v>1730</v>
      </c>
    </row>
    <row r="678" spans="1:8" ht="15" customHeight="1" x14ac:dyDescent="0.3">
      <c r="A678" s="107"/>
      <c r="B678" s="131">
        <f t="shared" si="21"/>
        <v>168</v>
      </c>
      <c r="C678" s="129" t="str">
        <f t="shared" si="20"/>
        <v>Impianti per l'espansione di gas per la produzione in proprio di energia elettrica</v>
      </c>
      <c r="D678" s="107"/>
      <c r="E678" s="317"/>
      <c r="F678" s="312" t="s">
        <v>1651</v>
      </c>
      <c r="G678" s="318" t="s">
        <v>1684</v>
      </c>
      <c r="H678" s="325" t="s">
        <v>1731</v>
      </c>
    </row>
    <row r="679" spans="1:8" ht="15" customHeight="1" x14ac:dyDescent="0.3">
      <c r="A679" s="107"/>
      <c r="B679" s="131">
        <f t="shared" si="21"/>
        <v>169</v>
      </c>
      <c r="C679" s="129" t="str">
        <f t="shared" si="20"/>
        <v>Trasformatori</v>
      </c>
      <c r="D679" s="107"/>
      <c r="E679" s="317"/>
      <c r="F679" s="312" t="s">
        <v>1652</v>
      </c>
      <c r="G679" s="318" t="s">
        <v>1685</v>
      </c>
      <c r="H679" s="325" t="s">
        <v>1732</v>
      </c>
    </row>
    <row r="680" spans="1:8" ht="15" customHeight="1" x14ac:dyDescent="0.3">
      <c r="A680" s="107"/>
      <c r="B680" s="131">
        <f t="shared" si="21"/>
        <v>170</v>
      </c>
      <c r="C680" s="129" t="str">
        <f t="shared" si="20"/>
        <v>Illuminazione interna (capannoni)</v>
      </c>
      <c r="D680" s="107"/>
      <c r="E680" s="317"/>
      <c r="F680" s="312" t="s">
        <v>1653</v>
      </c>
      <c r="G680" s="318" t="s">
        <v>1686</v>
      </c>
      <c r="H680" s="325" t="s">
        <v>1733</v>
      </c>
    </row>
    <row r="681" spans="1:8" ht="15" customHeight="1" x14ac:dyDescent="0.3">
      <c r="A681" s="107"/>
      <c r="B681" s="131">
        <f t="shared" si="21"/>
        <v>171</v>
      </c>
      <c r="C681" s="129" t="str">
        <f t="shared" si="20"/>
        <v>Illuminazione interna (uffici)</v>
      </c>
      <c r="D681" s="107"/>
      <c r="E681" s="317"/>
      <c r="F681" s="312" t="s">
        <v>1654</v>
      </c>
      <c r="G681" s="318" t="s">
        <v>1687</v>
      </c>
      <c r="H681" s="325" t="s">
        <v>1734</v>
      </c>
    </row>
    <row r="682" spans="1:8" ht="15" customHeight="1" x14ac:dyDescent="0.3">
      <c r="A682" s="107"/>
      <c r="B682" s="131">
        <f t="shared" si="21"/>
        <v>172</v>
      </c>
      <c r="C682" s="129" t="str">
        <f t="shared" si="20"/>
        <v>Illuminazione interna (superfici di vendita)</v>
      </c>
      <c r="D682" s="107"/>
      <c r="E682" s="317"/>
      <c r="F682" s="312" t="s">
        <v>1655</v>
      </c>
      <c r="G682" s="318" t="s">
        <v>1688</v>
      </c>
      <c r="H682" s="325" t="s">
        <v>1735</v>
      </c>
    </row>
    <row r="683" spans="1:8" ht="15" customHeight="1" x14ac:dyDescent="0.3">
      <c r="A683" s="107"/>
      <c r="B683" s="131">
        <f t="shared" si="21"/>
        <v>173</v>
      </c>
      <c r="C683" s="129" t="str">
        <f t="shared" si="20"/>
        <v>Illuminazione interna (altro)</v>
      </c>
      <c r="D683" s="107"/>
      <c r="E683" s="317"/>
      <c r="F683" s="312" t="s">
        <v>1656</v>
      </c>
      <c r="G683" s="318" t="s">
        <v>1689</v>
      </c>
      <c r="H683" s="325" t="s">
        <v>1736</v>
      </c>
    </row>
    <row r="684" spans="1:8" ht="15" customHeight="1" x14ac:dyDescent="0.3">
      <c r="A684" s="107"/>
      <c r="B684" s="131">
        <f t="shared" si="21"/>
        <v>174</v>
      </c>
      <c r="C684" s="129" t="str">
        <f t="shared" si="20"/>
        <v>Illuminazione interna (edifici residenziali)</v>
      </c>
      <c r="D684" s="107"/>
      <c r="E684" s="317"/>
      <c r="F684" s="312" t="s">
        <v>1657</v>
      </c>
      <c r="G684" s="318" t="s">
        <v>1690</v>
      </c>
      <c r="H684" s="325" t="s">
        <v>1737</v>
      </c>
    </row>
    <row r="685" spans="1:8" ht="15" customHeight="1" x14ac:dyDescent="0.3">
      <c r="A685" s="107"/>
      <c r="B685" s="131">
        <f t="shared" si="21"/>
        <v>175</v>
      </c>
      <c r="C685" s="129" t="str">
        <f t="shared" si="20"/>
        <v>Illuminazione esterna (strade e superfici di circolazione)</v>
      </c>
      <c r="D685" s="107"/>
      <c r="E685" s="317"/>
      <c r="F685" s="312" t="s">
        <v>1658</v>
      </c>
      <c r="G685" s="318" t="s">
        <v>1691</v>
      </c>
      <c r="H685" s="325" t="s">
        <v>1738</v>
      </c>
    </row>
    <row r="686" spans="1:8" ht="15" customHeight="1" x14ac:dyDescent="0.3">
      <c r="A686" s="107"/>
      <c r="B686" s="131">
        <f t="shared" si="21"/>
        <v>176</v>
      </c>
      <c r="C686" s="129" t="str">
        <f t="shared" si="20"/>
        <v>Illuminazione esterna (gallerie)</v>
      </c>
      <c r="D686" s="107"/>
      <c r="E686" s="317"/>
      <c r="F686" s="312" t="s">
        <v>1659</v>
      </c>
      <c r="G686" s="318" t="s">
        <v>1692</v>
      </c>
      <c r="H686" s="325" t="s">
        <v>1739</v>
      </c>
    </row>
    <row r="687" spans="1:8" ht="15" customHeight="1" x14ac:dyDescent="0.3">
      <c r="A687" s="107"/>
      <c r="B687" s="131">
        <f t="shared" si="21"/>
        <v>177</v>
      </c>
      <c r="C687" s="129" t="str">
        <f t="shared" si="20"/>
        <v>Illuminazione esterna (opere architettoniche)</v>
      </c>
      <c r="D687" s="107"/>
      <c r="E687" s="317"/>
      <c r="F687" s="312" t="s">
        <v>1702</v>
      </c>
      <c r="G687" s="318" t="s">
        <v>1693</v>
      </c>
      <c r="H687" s="325" t="s">
        <v>1803</v>
      </c>
    </row>
    <row r="688" spans="1:8" ht="15" customHeight="1" x14ac:dyDescent="0.3">
      <c r="A688" s="107"/>
      <c r="B688" s="131">
        <f t="shared" si="21"/>
        <v>178</v>
      </c>
      <c r="C688" s="129" t="str">
        <f t="shared" si="20"/>
        <v>Altre tecnologie</v>
      </c>
      <c r="D688" s="107"/>
      <c r="E688" s="317"/>
      <c r="F688" s="312" t="s">
        <v>1660</v>
      </c>
      <c r="G688" s="318" t="s">
        <v>1694</v>
      </c>
      <c r="H688" s="325" t="s">
        <v>1741</v>
      </c>
    </row>
    <row r="689" spans="1:8" ht="15" customHeight="1" x14ac:dyDescent="0.3">
      <c r="A689" s="133"/>
      <c r="B689" s="131">
        <f t="shared" si="21"/>
        <v>179</v>
      </c>
      <c r="C689" s="129" t="str">
        <f t="shared" si="20"/>
        <v xml:space="preserve">Costi per l'attuazione delle misure 1-8 (Obbligo di descriverli nel concetto del programma al capitolo 2 Misure). Le misure devono essere indicate per impianto. </v>
      </c>
      <c r="D689" s="107"/>
      <c r="E689" s="317"/>
      <c r="F689" s="135" t="s">
        <v>1900</v>
      </c>
      <c r="G689" s="318" t="s">
        <v>1901</v>
      </c>
      <c r="H689" s="319" t="s">
        <v>1902</v>
      </c>
    </row>
    <row r="690" spans="1:8" ht="15" customHeight="1" x14ac:dyDescent="0.3">
      <c r="A690" s="133"/>
      <c r="B690" s="131">
        <f t="shared" si="21"/>
        <v>180</v>
      </c>
      <c r="C690" s="129" t="str">
        <f t="shared" si="20"/>
        <v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v>
      </c>
      <c r="D690" s="107"/>
      <c r="E690" s="317"/>
      <c r="F690" s="370" t="s">
        <v>1924</v>
      </c>
      <c r="G690" s="371" t="s">
        <v>1925</v>
      </c>
      <c r="H690" s="372" t="s">
        <v>1926</v>
      </c>
    </row>
    <row r="691" spans="1:8" ht="15" customHeight="1" x14ac:dyDescent="0.3">
      <c r="B691" s="131">
        <f t="shared" si="21"/>
        <v>181</v>
      </c>
      <c r="C691" s="129" t="str">
        <f t="shared" ref="C691:C693" si="22">IF($B$1="f",F691,IF($B$1="d",G691,H691))</f>
        <v>Il valore della cella R36 deve superare il 70% del contributo di incentivazione ProKilowatt-richiesto (cfr. condizioni per la presentazione di progetti e programmi 2020, capitolo 2.2.1 Pg-1f).</v>
      </c>
      <c r="D691" s="107"/>
      <c r="E691" s="317"/>
      <c r="F691" s="309" t="s">
        <v>1930</v>
      </c>
      <c r="G691" s="318" t="s">
        <v>1931</v>
      </c>
      <c r="H691" s="326" t="s">
        <v>1932</v>
      </c>
    </row>
    <row r="692" spans="1:8" ht="15" customHeight="1" x14ac:dyDescent="0.3">
      <c r="B692" s="131">
        <f t="shared" si="21"/>
        <v>182</v>
      </c>
      <c r="C692" s="129" t="str">
        <f t="shared" si="22"/>
        <v>Il valore della cella R36 deve superare il 70% del contributo di incentivazione ProKilowatt-richiesto (cfr. condizioni per la presentazione di progetti e programmi 2020, capitolo 2.2.1 Pg-1f).</v>
      </c>
      <c r="D692" s="107"/>
      <c r="E692" s="317"/>
      <c r="F692" s="309" t="s">
        <v>1930</v>
      </c>
      <c r="G692" s="318" t="s">
        <v>1931</v>
      </c>
      <c r="H692" s="326" t="s">
        <v>1932</v>
      </c>
    </row>
    <row r="693" spans="1:8" ht="15" customHeight="1" x14ac:dyDescent="0.3">
      <c r="B693" s="131">
        <f t="shared" si="21"/>
        <v>183</v>
      </c>
      <c r="C693" s="129" t="str">
        <f t="shared" si="22"/>
        <v>IT hardware</v>
      </c>
      <c r="F693" s="309" t="s">
        <v>1890</v>
      </c>
      <c r="G693" s="318" t="s">
        <v>1890</v>
      </c>
      <c r="H693" s="326" t="s">
        <v>1891</v>
      </c>
    </row>
    <row r="694" spans="1:8" ht="15" customHeight="1" x14ac:dyDescent="0.3">
      <c r="B694" s="131">
        <f t="shared" si="21"/>
        <v>184</v>
      </c>
      <c r="C694" s="129" t="str">
        <f t="shared" ref="C694" si="23">IF($B$1="f",F694,IF($B$1="d",G694,H694))</f>
        <v>Trasformatori</v>
      </c>
      <c r="F694" s="309" t="s">
        <v>1652</v>
      </c>
      <c r="G694" s="318" t="s">
        <v>1685</v>
      </c>
      <c r="H694" s="326" t="s">
        <v>1732</v>
      </c>
    </row>
    <row r="695" spans="1:8" ht="15" customHeight="1" x14ac:dyDescent="0.3">
      <c r="B695" s="131">
        <f t="shared" si="21"/>
        <v>185</v>
      </c>
      <c r="C695" s="129" t="str">
        <f t="shared" ref="C695:C696" si="24">IF($B$1="f",F695,IF($B$1="d",G695,H695))</f>
        <v>Frigoriferi e congelatori commerciali</v>
      </c>
      <c r="F695" s="309" t="s">
        <v>1894</v>
      </c>
      <c r="G695" s="318" t="s">
        <v>1895</v>
      </c>
      <c r="H695" s="326" t="s">
        <v>1896</v>
      </c>
    </row>
    <row r="696" spans="1:8" ht="15" customHeight="1" x14ac:dyDescent="0.3">
      <c r="A696" s="107"/>
      <c r="B696" s="131">
        <f t="shared" si="21"/>
        <v>186</v>
      </c>
      <c r="C696" s="129" t="str">
        <f t="shared" si="24"/>
        <v>Servizi</v>
      </c>
      <c r="D696" s="107"/>
      <c r="E696" s="317"/>
      <c r="F696" s="312" t="s">
        <v>1903</v>
      </c>
      <c r="G696" s="318" t="s">
        <v>1904</v>
      </c>
      <c r="H696" s="325" t="s">
        <v>1905</v>
      </c>
    </row>
    <row r="697" spans="1:8" ht="15" customHeight="1" x14ac:dyDescent="0.3">
      <c r="A697" s="107"/>
      <c r="B697" s="131">
        <f t="shared" si="21"/>
        <v>187</v>
      </c>
      <c r="C697" s="129" t="str">
        <f t="shared" ref="C697" si="25">IF($B$1="f",F697,IF($B$1="d",G697,H697))</f>
        <v>Illuminazione esterna (strade e superfici di circolazione)</v>
      </c>
      <c r="D697" s="107"/>
      <c r="E697" s="317"/>
      <c r="F697" s="312" t="s">
        <v>1906</v>
      </c>
      <c r="G697" s="318" t="s">
        <v>1691</v>
      </c>
      <c r="H697" s="325" t="s">
        <v>1738</v>
      </c>
    </row>
    <row r="698" spans="1:8" ht="15" customHeight="1" x14ac:dyDescent="0.3">
      <c r="A698" s="107"/>
      <c r="B698" s="131">
        <f t="shared" si="21"/>
        <v>188</v>
      </c>
      <c r="C698" s="129" t="str">
        <f t="shared" ref="C698" si="26">IF($B$1="f",F698,IF($B$1="d",G698,H698))</f>
        <v>Cavi di alimentazione</v>
      </c>
      <c r="D698" s="107"/>
      <c r="E698" s="317"/>
      <c r="F698" s="312" t="s">
        <v>1907</v>
      </c>
      <c r="G698" s="318" t="s">
        <v>1908</v>
      </c>
      <c r="H698" s="325" t="s">
        <v>1909</v>
      </c>
    </row>
    <row r="699" spans="1:8" ht="15" customHeight="1" x14ac:dyDescent="0.3">
      <c r="A699" s="107"/>
      <c r="B699" s="131">
        <f t="shared" si="21"/>
        <v>189</v>
      </c>
      <c r="C699" s="129" t="str">
        <f t="shared" ref="C699" si="27">IF($B$1="f",F699,IF($B$1="d",G699,H699))</f>
        <v>Controllo del rapporto costo/utility &lt; 15cts/kWh</v>
      </c>
      <c r="D699" s="107"/>
      <c r="E699" s="317"/>
      <c r="F699" s="312" t="s">
        <v>1939</v>
      </c>
      <c r="G699" s="318" t="s">
        <v>1940</v>
      </c>
      <c r="H699" s="325" t="s">
        <v>1941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topLeftCell="A7" workbookViewId="0">
      <selection activeCell="B7" sqref="B7:E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3.33203125" style="9" customWidth="1"/>
    <col min="8" max="16384" width="11.44140625" style="9"/>
  </cols>
  <sheetData>
    <row r="1" spans="1:5" ht="12.75" customHeight="1" x14ac:dyDescent="0.25">
      <c r="A1" s="5"/>
      <c r="B1" s="43"/>
      <c r="C1" s="44"/>
      <c r="D1" s="44"/>
      <c r="E1" s="45"/>
    </row>
    <row r="2" spans="1:5" ht="12.75" customHeight="1" x14ac:dyDescent="0.25">
      <c r="A2" s="5"/>
      <c r="B2" s="46"/>
      <c r="C2" s="5"/>
      <c r="D2" s="12" t="str">
        <f>Langues1!C102</f>
        <v>Numero del programma</v>
      </c>
      <c r="E2" s="47"/>
    </row>
    <row r="3" spans="1:5" ht="12.75" customHeight="1" x14ac:dyDescent="0.25">
      <c r="A3" s="5"/>
      <c r="B3" s="46"/>
      <c r="C3" s="5"/>
      <c r="D3" s="443" t="s">
        <v>1914</v>
      </c>
      <c r="E3" s="444"/>
    </row>
    <row r="4" spans="1:5" ht="12.75" customHeight="1" x14ac:dyDescent="0.25">
      <c r="A4" s="5"/>
      <c r="B4" s="46"/>
      <c r="C4" s="5"/>
      <c r="D4" s="445"/>
      <c r="E4" s="446"/>
    </row>
    <row r="5" spans="1:5" ht="12.75" customHeight="1" x14ac:dyDescent="0.25">
      <c r="A5" s="5"/>
      <c r="B5" s="48"/>
      <c r="C5" s="49"/>
      <c r="D5" s="49"/>
      <c r="E5" s="50"/>
    </row>
    <row r="6" spans="1:5" ht="12.75" customHeight="1" x14ac:dyDescent="0.25"/>
    <row r="7" spans="1:5" ht="60" customHeight="1" x14ac:dyDescent="0.25">
      <c r="B7" s="448" t="str">
        <f>Menu!B10</f>
        <v>Gare pubbliche 2020
Formulario di proposta per programma elettrodomestici</v>
      </c>
      <c r="C7" s="448"/>
      <c r="D7" s="448"/>
      <c r="E7" s="448"/>
    </row>
    <row r="8" spans="1:5" ht="12.75" customHeight="1" x14ac:dyDescent="0.25">
      <c r="B8" s="41"/>
      <c r="C8" s="41"/>
      <c r="D8" s="41"/>
      <c r="E8" s="41"/>
    </row>
    <row r="9" spans="1:5" ht="12.75" customHeight="1" x14ac:dyDescent="0.25">
      <c r="B9" s="41"/>
      <c r="C9" s="41"/>
      <c r="D9" s="41"/>
      <c r="E9" s="41"/>
    </row>
    <row r="10" spans="1:5" ht="20.399999999999999" x14ac:dyDescent="0.25">
      <c r="B10" s="438">
        <f>'1'!C8</f>
        <v>0</v>
      </c>
      <c r="C10" s="438"/>
      <c r="D10" s="438"/>
      <c r="E10" s="438"/>
    </row>
    <row r="11" spans="1:5" ht="12.75" customHeight="1" x14ac:dyDescent="0.25">
      <c r="B11" s="41"/>
      <c r="C11" s="41"/>
      <c r="D11" s="41"/>
      <c r="E11" s="41"/>
    </row>
    <row r="12" spans="1:5" ht="48" customHeight="1" x14ac:dyDescent="0.25">
      <c r="B12" s="442">
        <f>'1'!C7</f>
        <v>0</v>
      </c>
      <c r="C12" s="442"/>
      <c r="D12" s="442"/>
      <c r="E12" s="442"/>
    </row>
    <row r="13" spans="1:5" ht="12.75" customHeight="1" x14ac:dyDescent="0.25">
      <c r="B13" s="41"/>
      <c r="C13" s="41"/>
      <c r="D13" s="41"/>
      <c r="E13" s="41"/>
    </row>
    <row r="14" spans="1:5" ht="12.75" customHeight="1" x14ac:dyDescent="0.25">
      <c r="B14" s="41"/>
      <c r="C14" s="41"/>
      <c r="D14" s="41"/>
      <c r="E14" s="41"/>
    </row>
    <row r="15" spans="1:5" ht="12.75" customHeight="1" x14ac:dyDescent="0.25">
      <c r="B15" s="41"/>
      <c r="C15" s="41"/>
      <c r="D15" s="41"/>
      <c r="E15" s="41"/>
    </row>
    <row r="16" spans="1:5" ht="20.399999999999999" x14ac:dyDescent="0.25">
      <c r="B16" s="438">
        <f>'2'!C7</f>
        <v>0</v>
      </c>
      <c r="C16" s="438"/>
      <c r="D16" s="438"/>
      <c r="E16" s="438"/>
    </row>
    <row r="17" spans="1:5" ht="20.399999999999999" x14ac:dyDescent="0.25">
      <c r="B17" s="449">
        <f>'2'!E12</f>
        <v>0</v>
      </c>
      <c r="C17" s="438"/>
      <c r="D17" s="438"/>
      <c r="E17" s="438"/>
    </row>
    <row r="18" spans="1:5" ht="12.75" customHeight="1" x14ac:dyDescent="0.25">
      <c r="B18" s="41"/>
      <c r="C18" s="41"/>
      <c r="D18" s="41"/>
      <c r="E18" s="41"/>
    </row>
    <row r="19" spans="1:5" ht="12.75" customHeight="1" x14ac:dyDescent="0.25">
      <c r="B19" s="447" t="str">
        <f>Langues1!C103</f>
        <v>Controllo della completezza</v>
      </c>
      <c r="C19" s="447"/>
      <c r="D19" s="447"/>
      <c r="E19" s="447"/>
    </row>
    <row r="20" spans="1:5" ht="15" customHeight="1" x14ac:dyDescent="0.25">
      <c r="A20" s="83">
        <f>Menu!B15</f>
        <v>1</v>
      </c>
      <c r="B20" s="439" t="str">
        <f>Menu!C15</f>
        <v>Descrittivo del programma</v>
      </c>
      <c r="C20" s="440"/>
      <c r="D20" s="441"/>
      <c r="E20" s="1">
        <f>Menu!E15</f>
        <v>5</v>
      </c>
    </row>
    <row r="21" spans="1:5" ht="15" customHeight="1" x14ac:dyDescent="0.25">
      <c r="A21" s="83">
        <f>Menu!B16</f>
        <v>2</v>
      </c>
      <c r="B21" s="439" t="str">
        <f>Menu!C16</f>
        <v>Responsabile / Organizzazione</v>
      </c>
      <c r="C21" s="440"/>
      <c r="D21" s="441"/>
      <c r="E21" s="1">
        <f>Menu!E16</f>
        <v>18</v>
      </c>
    </row>
    <row r="22" spans="1:5" ht="15" customHeight="1" x14ac:dyDescent="0.25">
      <c r="A22" s="83">
        <f>Menu!B17</f>
        <v>3</v>
      </c>
      <c r="B22" s="439" t="str">
        <f>Menu!C17</f>
        <v>Budget / Finanziamento (quantificazione)</v>
      </c>
      <c r="C22" s="440"/>
      <c r="D22" s="441"/>
      <c r="E22" s="70">
        <f>Menu!E17</f>
        <v>8</v>
      </c>
    </row>
    <row r="23" spans="1:5" ht="15" customHeight="1" x14ac:dyDescent="0.25">
      <c r="A23" s="83">
        <f>Menu!B18</f>
        <v>4</v>
      </c>
      <c r="B23" s="219" t="str">
        <f>Menu!C18</f>
        <v>Valutazione dell'efficacia / risparmi</v>
      </c>
      <c r="C23" s="220"/>
      <c r="D23" s="221"/>
      <c r="E23" s="70">
        <f>Menu!E18</f>
        <v>0</v>
      </c>
    </row>
    <row r="24" spans="1:5" ht="15" customHeight="1" x14ac:dyDescent="0.25">
      <c r="A24" s="83">
        <f>Menu!B19</f>
        <v>5</v>
      </c>
      <c r="B24" s="439" t="str">
        <f>Menu!C19</f>
        <v>Consenso e osservazioni</v>
      </c>
      <c r="C24" s="440"/>
      <c r="D24" s="441"/>
      <c r="E24" s="70">
        <f>Menu!E19</f>
        <v>2</v>
      </c>
    </row>
    <row r="25" spans="1:5" ht="12.75" customHeight="1" x14ac:dyDescent="0.25">
      <c r="A25" s="83">
        <v>6</v>
      </c>
      <c r="B25" s="439" t="str">
        <f>Langues1!C699</f>
        <v>Controllo del rapporto costo/utility &lt; 15cts/kWh</v>
      </c>
      <c r="C25" s="440"/>
      <c r="D25" s="441"/>
      <c r="E25" s="70">
        <f>Ctrl!B23</f>
        <v>0</v>
      </c>
    </row>
    <row r="26" spans="1:5" ht="12.75" customHeight="1" x14ac:dyDescent="0.25">
      <c r="B26" s="77"/>
      <c r="C26" s="77"/>
      <c r="D26" s="77"/>
      <c r="E26" s="5"/>
    </row>
    <row r="27" spans="1:5" ht="12.75" customHeight="1" x14ac:dyDescent="0.25">
      <c r="B27" s="455" t="str">
        <f>Menu!C41</f>
        <v>Version 1.0</v>
      </c>
      <c r="C27" s="455"/>
      <c r="D27" s="77"/>
      <c r="E27" s="5"/>
    </row>
    <row r="28" spans="1:5" ht="12.75" customHeight="1" x14ac:dyDescent="0.25">
      <c r="B28" s="77"/>
      <c r="C28" s="77"/>
      <c r="D28" s="77"/>
      <c r="E28" s="5"/>
    </row>
    <row r="29" spans="1:5" ht="12.75" customHeight="1" x14ac:dyDescent="0.25">
      <c r="B29" s="11" t="str">
        <f>Langues1!C104</f>
        <v>Referente</v>
      </c>
    </row>
    <row r="30" spans="1:5" ht="15" customHeight="1" x14ac:dyDescent="0.25">
      <c r="B30" s="2" t="str">
        <f>'2'!B18</f>
        <v>Nome dell'organizzazione</v>
      </c>
      <c r="C30" s="454">
        <f>'2'!C18</f>
        <v>0</v>
      </c>
      <c r="D30" s="454"/>
      <c r="E30" s="454"/>
    </row>
    <row r="31" spans="1:5" ht="15" customHeight="1" x14ac:dyDescent="0.25">
      <c r="B31" s="65" t="str">
        <f>'2'!B11</f>
        <v>Indirizzo</v>
      </c>
      <c r="C31" s="456">
        <f>'2'!C11:E11</f>
        <v>0</v>
      </c>
      <c r="D31" s="457"/>
      <c r="E31" s="458"/>
    </row>
    <row r="32" spans="1:5" ht="15" customHeight="1" x14ac:dyDescent="0.25">
      <c r="B32" s="65" t="str">
        <f>'2'!B12</f>
        <v>NPA</v>
      </c>
      <c r="C32" s="65">
        <f>'2'!C12</f>
        <v>0</v>
      </c>
      <c r="D32" s="65" t="str">
        <f>'2'!D12</f>
        <v>Città</v>
      </c>
      <c r="E32" s="65">
        <f>'2'!E12</f>
        <v>0</v>
      </c>
    </row>
    <row r="33" spans="2:5" ht="15" customHeight="1" x14ac:dyDescent="0.25">
      <c r="B33" s="65" t="str">
        <f>'2'!B19</f>
        <v>Cognome</v>
      </c>
      <c r="C33" s="65">
        <f>'2'!C19</f>
        <v>0</v>
      </c>
      <c r="D33" s="65" t="str">
        <f>'2'!D19</f>
        <v>Nome</v>
      </c>
      <c r="E33" s="65">
        <f>'2'!E19</f>
        <v>0</v>
      </c>
    </row>
    <row r="34" spans="2:5" ht="15" customHeight="1" x14ac:dyDescent="0.25">
      <c r="B34" s="65" t="str">
        <f>'2'!B20</f>
        <v>Funzione</v>
      </c>
      <c r="C34" s="450">
        <f>'2'!C20</f>
        <v>0</v>
      </c>
      <c r="D34" s="450"/>
      <c r="E34" s="450"/>
    </row>
    <row r="35" spans="2:5" ht="15" customHeight="1" x14ac:dyDescent="0.25">
      <c r="B35" s="65" t="str">
        <f>'2'!B21</f>
        <v>Telefono</v>
      </c>
      <c r="C35" s="65">
        <f>'2'!C21</f>
        <v>0</v>
      </c>
      <c r="D35" s="65" t="str">
        <f>'2'!D21</f>
        <v>Telefono cellulare</v>
      </c>
      <c r="E35" s="65">
        <f>'2'!E21</f>
        <v>0</v>
      </c>
    </row>
    <row r="36" spans="2:5" ht="15" customHeight="1" x14ac:dyDescent="0.25">
      <c r="B36" s="65" t="str">
        <f>'2'!B22</f>
        <v>E-mail</v>
      </c>
      <c r="C36" s="451">
        <f>'2'!C22</f>
        <v>0</v>
      </c>
      <c r="D36" s="452"/>
      <c r="E36" s="453"/>
    </row>
    <row r="39" spans="2:5" x14ac:dyDescent="0.25">
      <c r="B39" s="11" t="s">
        <v>613</v>
      </c>
      <c r="D39" s="447" t="str">
        <f>Langues1!C8</f>
        <v>Organo indipendente per le gare pubbliche</v>
      </c>
      <c r="E39" s="437"/>
    </row>
    <row r="40" spans="2:5" x14ac:dyDescent="0.25">
      <c r="B40" s="447" t="s">
        <v>898</v>
      </c>
      <c r="C40" s="447"/>
      <c r="D40" s="447" t="str">
        <f>Langues1!C9</f>
        <v>nel settore dell'efficienza energetica</v>
      </c>
      <c r="E40" s="437"/>
    </row>
    <row r="41" spans="2:5" x14ac:dyDescent="0.25">
      <c r="B41" s="11" t="s">
        <v>899</v>
      </c>
      <c r="D41" s="447" t="str">
        <f>Langues1!C56</f>
        <v>Su incarico dell'Ufficio federale dell'energia UFE</v>
      </c>
      <c r="E41" s="447"/>
    </row>
  </sheetData>
  <sheetProtection algorithmName="SHA-512" hashValue="Ub943Xv9/1DMCzKxn72UwWa21zXhVKW2zVoVfzg9VEbI20uTWuPnp+zeU0NmdLaNIwYODhy0XmPKb4ykIhHwTQ==" saltValue="rnHlP8Ab8AaRJ+X8Si/4xA==" spinCount="100000" sheet="1" objects="1" scenarios="1"/>
  <mergeCells count="21">
    <mergeCell ref="D41:E41"/>
    <mergeCell ref="C34:E34"/>
    <mergeCell ref="C36:E36"/>
    <mergeCell ref="B22:D22"/>
    <mergeCell ref="B20:D20"/>
    <mergeCell ref="C30:E30"/>
    <mergeCell ref="D40:E40"/>
    <mergeCell ref="B40:C40"/>
    <mergeCell ref="B27:C27"/>
    <mergeCell ref="D39:E39"/>
    <mergeCell ref="C31:E31"/>
    <mergeCell ref="B25:D25"/>
    <mergeCell ref="B10:E10"/>
    <mergeCell ref="B24:D24"/>
    <mergeCell ref="B21:D21"/>
    <mergeCell ref="B12:E12"/>
    <mergeCell ref="D3:E4"/>
    <mergeCell ref="B19:E19"/>
    <mergeCell ref="B7:E7"/>
    <mergeCell ref="B17:E17"/>
    <mergeCell ref="B16:E16"/>
  </mergeCells>
  <phoneticPr fontId="22"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29" activePane="bottomLeft" state="frozen"/>
      <selection activeCell="D27" sqref="D27:D32"/>
      <selection pane="bottomLeft" activeCell="E48" sqref="E48"/>
    </sheetView>
  </sheetViews>
  <sheetFormatPr baseColWidth="10" defaultColWidth="11.44140625" defaultRowHeight="13.2" x14ac:dyDescent="0.25"/>
  <cols>
    <col min="1" max="1" width="3.5546875" style="9" customWidth="1"/>
    <col min="2" max="2" width="38.109375" style="9" customWidth="1"/>
    <col min="3" max="3" width="16.44140625" style="9" customWidth="1"/>
    <col min="4" max="4" width="11.44140625" style="9"/>
    <col min="5" max="5" width="16.44140625" style="9" customWidth="1"/>
    <col min="6" max="6" width="9.6640625" style="9" customWidth="1"/>
    <col min="7" max="7" width="5.5546875" style="9" customWidth="1"/>
    <col min="8" max="8" width="84.88671875" style="31" bestFit="1" customWidth="1"/>
    <col min="9" max="16384" width="11.44140625" style="9"/>
  </cols>
  <sheetData>
    <row r="1" spans="1:8" ht="24.75" customHeight="1" x14ac:dyDescent="0.25">
      <c r="A1" s="479"/>
      <c r="B1" s="480"/>
      <c r="C1" s="483" t="str">
        <f>Menu!C14</f>
        <v>Indici del programma</v>
      </c>
      <c r="D1" s="484"/>
      <c r="E1" s="484"/>
      <c r="F1" s="485"/>
      <c r="H1" s="276" t="str">
        <f>Langues1!C133</f>
        <v>Istruzioni e spiegazioni</v>
      </c>
    </row>
    <row r="2" spans="1:8" ht="21" customHeight="1" x14ac:dyDescent="0.25">
      <c r="A2" s="481"/>
      <c r="B2" s="482"/>
      <c r="C2" s="486"/>
      <c r="D2" s="487"/>
      <c r="E2" s="487"/>
      <c r="F2" s="1"/>
      <c r="H2" s="477">
        <f>Langues1!C134</f>
        <v>0</v>
      </c>
    </row>
    <row r="3" spans="1:8" x14ac:dyDescent="0.25">
      <c r="A3" s="488" t="str">
        <f>Langues1!C149</f>
        <v>Partner principale</v>
      </c>
      <c r="B3" s="488"/>
      <c r="C3" s="489">
        <f>'2'!C7</f>
        <v>0</v>
      </c>
      <c r="D3" s="490"/>
      <c r="E3" s="490"/>
      <c r="F3" s="1"/>
      <c r="H3" s="478"/>
    </row>
    <row r="4" spans="1:8" x14ac:dyDescent="0.25">
      <c r="A4" s="491" t="str">
        <f>Langues1!C154</f>
        <v>Acronimo del programma</v>
      </c>
      <c r="B4" s="492"/>
      <c r="C4" s="489">
        <f>'1'!C8</f>
        <v>0</v>
      </c>
      <c r="D4" s="490"/>
      <c r="E4" s="490"/>
      <c r="F4" s="1"/>
      <c r="H4" s="478"/>
    </row>
    <row r="6" spans="1:8" x14ac:dyDescent="0.25">
      <c r="A6" s="18">
        <v>0.1</v>
      </c>
      <c r="B6" s="11" t="str">
        <f>Langues1!C108</f>
        <v>Indici del programma</v>
      </c>
    </row>
    <row r="7" spans="1:8" ht="13.8" x14ac:dyDescent="0.25">
      <c r="A7" s="85"/>
      <c r="B7" s="463" t="str">
        <f>Langues1!C109</f>
        <v>Durata programma</v>
      </c>
      <c r="C7" s="464"/>
      <c r="D7" s="464"/>
      <c r="E7" s="464"/>
      <c r="F7" s="465"/>
    </row>
    <row r="8" spans="1:8" x14ac:dyDescent="0.25">
      <c r="A8" s="85"/>
      <c r="B8" s="65" t="str">
        <f>Langues1!C109</f>
        <v>Durata programma</v>
      </c>
      <c r="C8" s="7" t="str">
        <f>'1'!E15</f>
        <v/>
      </c>
      <c r="D8" s="2" t="str">
        <f>Langues1!C110</f>
        <v>Mese(i)</v>
      </c>
      <c r="E8" s="1"/>
      <c r="F8" s="1"/>
    </row>
    <row r="9" spans="1:8" s="31" customFormat="1" ht="25.5" customHeight="1" x14ac:dyDescent="0.25">
      <c r="A9" s="299"/>
      <c r="B9" s="300" t="str">
        <f>Langues1!C586</f>
        <v>Tipo di programma</v>
      </c>
      <c r="C9" s="474" t="str">
        <f>'1'!C9</f>
        <v>Programma</v>
      </c>
      <c r="D9" s="475"/>
      <c r="E9" s="475"/>
      <c r="F9" s="476"/>
    </row>
    <row r="10" spans="1:8" ht="7.5" customHeight="1" x14ac:dyDescent="0.25">
      <c r="A10" s="5"/>
      <c r="B10" s="5"/>
      <c r="C10" s="91"/>
      <c r="D10" s="5"/>
      <c r="E10" s="92"/>
      <c r="F10" s="5"/>
    </row>
    <row r="11" spans="1:8" ht="14.4" x14ac:dyDescent="0.25">
      <c r="A11" s="1"/>
      <c r="B11" s="459" t="str">
        <f>Langues1!C111</f>
        <v>Consumo di elettricità senza programma</v>
      </c>
      <c r="C11" s="460"/>
      <c r="D11" s="460"/>
      <c r="E11" s="460"/>
      <c r="F11" s="462"/>
    </row>
    <row r="12" spans="1:8" ht="25.5" customHeight="1" x14ac:dyDescent="0.25">
      <c r="A12" s="1"/>
      <c r="B12" s="13" t="str">
        <f>Langues1!C112</f>
        <v>Ø Evoluzione in kWh/anno per unità (medie)</v>
      </c>
      <c r="C12" s="23" t="e">
        <f>'4'!F28</f>
        <v>#DIV/0!</v>
      </c>
      <c r="D12" s="1" t="str">
        <f>Langues1!C129</f>
        <v>[kWh/anno]</v>
      </c>
      <c r="E12" s="23" t="e">
        <f>'4'!F30</f>
        <v>#DIV/0!</v>
      </c>
      <c r="F12" s="1" t="str">
        <f>Langues1!C130</f>
        <v>[CHF/anno]</v>
      </c>
      <c r="H12" s="31" t="str">
        <f>Langues1!C135</f>
        <v>Consumo medio di elettricità senza programma per anno</v>
      </c>
    </row>
    <row r="13" spans="1:8" x14ac:dyDescent="0.25">
      <c r="A13" s="1"/>
      <c r="B13" s="2" t="str">
        <f>Langues1!C113</f>
        <v>Ø Tariffa dell'elettricità (IVA inclusa)</v>
      </c>
      <c r="C13" s="24">
        <f>'4'!F7</f>
        <v>0.15</v>
      </c>
      <c r="D13" s="2" t="str">
        <f>Langues1!C130</f>
        <v>[CHF/anno]</v>
      </c>
      <c r="E13" s="6"/>
      <c r="F13" s="1"/>
      <c r="H13" s="31" t="str">
        <f>Langues1!C136</f>
        <v>Tariffa media per il calcolo dell'evoluzione di riferimento</v>
      </c>
    </row>
    <row r="14" spans="1:8" x14ac:dyDescent="0.25">
      <c r="A14" s="1"/>
      <c r="B14" s="2" t="str">
        <f>Langues1!C114</f>
        <v>Ø Durata di utilizzo</v>
      </c>
      <c r="C14" s="218">
        <f>'4'!L28</f>
        <v>0</v>
      </c>
      <c r="D14" s="1" t="str">
        <f>Langues1!C132</f>
        <v>[anno/anni]</v>
      </c>
      <c r="E14" s="1"/>
      <c r="F14" s="1"/>
      <c r="H14" s="31" t="str">
        <f>Langues1!C137</f>
        <v>Durata di utilizzo delle applicazioni coinvolte, che sono interessati dalle misure.</v>
      </c>
    </row>
    <row r="15" spans="1:8" ht="26.4" x14ac:dyDescent="0.25">
      <c r="A15" s="1"/>
      <c r="B15" s="13" t="str">
        <f>Langues1!C115</f>
        <v>Consumo di elettricità complessivo senza programma</v>
      </c>
      <c r="C15" s="23">
        <f>'4'!G29</f>
        <v>0</v>
      </c>
      <c r="D15" s="2" t="str">
        <f>Langues1!C129</f>
        <v>[kWh/anno]</v>
      </c>
      <c r="E15" s="23">
        <f>'4'!G30</f>
        <v>0</v>
      </c>
      <c r="F15" s="1" t="s">
        <v>597</v>
      </c>
      <c r="H15" s="31" t="str">
        <f>Langues1!C138</f>
        <v>Evoluzione di riferimento del consumo senza programma per l'intera durata di utilizzo in kWh e CHF</v>
      </c>
    </row>
    <row r="16" spans="1:8" ht="7.5" customHeight="1" x14ac:dyDescent="0.25">
      <c r="A16" s="5"/>
      <c r="B16" s="5"/>
      <c r="C16" s="91"/>
      <c r="D16" s="5"/>
      <c r="E16" s="92"/>
      <c r="F16" s="5"/>
    </row>
    <row r="17" spans="1:8" ht="14.4" x14ac:dyDescent="0.25">
      <c r="A17" s="1"/>
      <c r="B17" s="459" t="str">
        <f>Langues1!C116</f>
        <v>Consumo di elettricità complessivo con programma</v>
      </c>
      <c r="C17" s="460"/>
      <c r="D17" s="460"/>
      <c r="E17" s="460"/>
      <c r="F17" s="462"/>
    </row>
    <row r="18" spans="1:8" x14ac:dyDescent="0.25">
      <c r="A18" s="1"/>
      <c r="B18" s="101" t="str">
        <f>Langues1!C112</f>
        <v>Ø Evoluzione in kWh/anno per unità (medie)</v>
      </c>
      <c r="C18" s="23" t="e">
        <f>'4'!H28</f>
        <v>#DIV/0!</v>
      </c>
      <c r="D18" s="1" t="str">
        <f>Langues1!C129</f>
        <v>[kWh/anno]</v>
      </c>
      <c r="E18" s="23" t="e">
        <f>'4'!H30</f>
        <v>#DIV/0!</v>
      </c>
      <c r="F18" s="1" t="str">
        <f>Langues1!C130</f>
        <v>[CHF/anno]</v>
      </c>
      <c r="H18" s="31" t="str">
        <f>Langues1!C139</f>
        <v xml:space="preserve">Consumo medio di elettricità con programma per anno </v>
      </c>
    </row>
    <row r="19" spans="1:8" ht="24.75" customHeight="1" x14ac:dyDescent="0.25">
      <c r="A19" s="1"/>
      <c r="B19" s="101" t="str">
        <f>Langues1!C116</f>
        <v>Consumo di elettricità complessivo con programma</v>
      </c>
      <c r="C19" s="23">
        <f>'4'!I29</f>
        <v>0</v>
      </c>
      <c r="D19" s="2" t="str">
        <f>Langues1!C129</f>
        <v>[kWh/anno]</v>
      </c>
      <c r="E19" s="23">
        <f>'4'!I30</f>
        <v>0</v>
      </c>
      <c r="F19" s="1" t="s">
        <v>597</v>
      </c>
      <c r="H19" s="31" t="str">
        <f>Langues1!C140</f>
        <v>Consumo di elettricità con programma per l'intera durata di utilizzo in kWh e CHF</v>
      </c>
    </row>
    <row r="20" spans="1:8" ht="7.5" customHeight="1" x14ac:dyDescent="0.25">
      <c r="A20" s="5"/>
      <c r="B20" s="5"/>
      <c r="C20" s="5"/>
      <c r="D20" s="5"/>
      <c r="E20" s="92"/>
      <c r="F20" s="5"/>
    </row>
    <row r="21" spans="1:8" ht="14.4" x14ac:dyDescent="0.25">
      <c r="A21" s="1"/>
      <c r="B21" s="459" t="str">
        <f>Langues1!C117</f>
        <v>Risparmi di energia elettrica previsti</v>
      </c>
      <c r="C21" s="460"/>
      <c r="D21" s="460"/>
      <c r="E21" s="460"/>
      <c r="F21" s="462"/>
    </row>
    <row r="22" spans="1:8" x14ac:dyDescent="0.25">
      <c r="A22" s="1"/>
      <c r="B22" s="82" t="str">
        <f>Langues1!C591</f>
        <v>Ø Risparmi di energia elettrica in kWh/anno</v>
      </c>
      <c r="C22" s="23">
        <f>'4'!M29</f>
        <v>0</v>
      </c>
      <c r="D22" s="1" t="str">
        <f>Langues1!C129</f>
        <v>[kWh/anno]</v>
      </c>
      <c r="E22" s="23">
        <f>'4'!M30</f>
        <v>0</v>
      </c>
      <c r="F22" s="1" t="str">
        <f>Langues1!C130</f>
        <v>[CHF/anno]</v>
      </c>
      <c r="H22" s="31" t="str">
        <f>Langues1!C141</f>
        <v>Risparmio medio di energia elettrica per anno</v>
      </c>
    </row>
    <row r="23" spans="1:8" x14ac:dyDescent="0.25">
      <c r="A23" s="1"/>
      <c r="B23" s="13" t="str">
        <f>Langues1!C120</f>
        <v>Risparmio di energia elettrica accumulato computabile</v>
      </c>
      <c r="C23" s="23">
        <f>'4'!P29</f>
        <v>0</v>
      </c>
      <c r="D23" s="1" t="s">
        <v>596</v>
      </c>
      <c r="E23" s="23">
        <f>'4'!P30</f>
        <v>0</v>
      </c>
      <c r="F23" s="1" t="s">
        <v>597</v>
      </c>
      <c r="H23" s="31" t="str">
        <f>Langues1!C142</f>
        <v>Risparmio di energia elettrica previsto del programma per l'intera durata di utilizzo in kWh e CHF</v>
      </c>
    </row>
    <row r="24" spans="1:8" ht="7.5" customHeight="1" x14ac:dyDescent="0.25">
      <c r="A24" s="5"/>
      <c r="B24" s="12"/>
      <c r="C24" s="93"/>
      <c r="D24" s="3"/>
      <c r="E24" s="93"/>
      <c r="F24" s="5"/>
      <c r="H24" s="33"/>
    </row>
    <row r="25" spans="1:8" ht="14.4" x14ac:dyDescent="0.25">
      <c r="A25" s="1"/>
      <c r="B25" s="222" t="str">
        <f>Langues1!C121</f>
        <v>Costi programma</v>
      </c>
      <c r="C25" s="223" t="s">
        <v>536</v>
      </c>
      <c r="D25" s="223"/>
      <c r="E25" s="225" t="s">
        <v>613</v>
      </c>
      <c r="F25" s="224"/>
    </row>
    <row r="26" spans="1:8" x14ac:dyDescent="0.25">
      <c r="A26" s="1"/>
      <c r="B26" s="65" t="str">
        <f>Langues1!C518</f>
        <v>Gestione del programma</v>
      </c>
      <c r="C26" s="23">
        <f>'3'!I21</f>
        <v>0</v>
      </c>
      <c r="D26" s="1" t="s">
        <v>597</v>
      </c>
      <c r="E26" s="23">
        <f>SUM('3'!Q11,'3'!Q12)</f>
        <v>0</v>
      </c>
      <c r="F26" s="67" t="e">
        <f>E26/E$29</f>
        <v>#DIV/0!</v>
      </c>
    </row>
    <row r="27" spans="1:8" x14ac:dyDescent="0.25">
      <c r="A27" s="1"/>
      <c r="B27" s="65" t="str">
        <f>Langues1!C521</f>
        <v>Misure complementari</v>
      </c>
      <c r="C27" s="23">
        <f>'3'!J21</f>
        <v>0</v>
      </c>
      <c r="D27" s="1" t="s">
        <v>597</v>
      </c>
      <c r="E27" s="23">
        <f>SUM('3'!Q14:'3'!Q20)</f>
        <v>0</v>
      </c>
      <c r="F27" s="67" t="e">
        <f>E27/E$29</f>
        <v>#DIV/0!</v>
      </c>
    </row>
    <row r="28" spans="1:8" ht="13.8" thickBot="1" x14ac:dyDescent="0.3">
      <c r="A28" s="1"/>
      <c r="B28" s="65" t="str">
        <f>Langues1!C531</f>
        <v xml:space="preserve">Misure di incentivazione </v>
      </c>
      <c r="C28" s="23">
        <f>'3'!J36</f>
        <v>0</v>
      </c>
      <c r="D28" s="1" t="s">
        <v>597</v>
      </c>
      <c r="E28" s="23">
        <f>'3'!Q36</f>
        <v>0</v>
      </c>
      <c r="F28" s="259" t="e">
        <f>E28/E$29</f>
        <v>#DIV/0!</v>
      </c>
    </row>
    <row r="29" spans="1:8" ht="13.8" thickBot="1" x14ac:dyDescent="0.3">
      <c r="A29" s="1"/>
      <c r="B29" s="65" t="str">
        <f>Langues1!C354</f>
        <v>Totale dei costi</v>
      </c>
      <c r="C29" s="23">
        <f>'3'!I41</f>
        <v>0</v>
      </c>
      <c r="D29" s="1" t="s">
        <v>597</v>
      </c>
      <c r="E29" s="258">
        <f>SUM(E26:E28)</f>
        <v>0</v>
      </c>
      <c r="F29" s="260" t="e">
        <f>E29/C29</f>
        <v>#DIV/0!</v>
      </c>
      <c r="H29" s="31" t="str">
        <f>Langues1!C143</f>
        <v>Totale dei costi del programma</v>
      </c>
    </row>
    <row r="30" spans="1:8" ht="7.5" customHeight="1" x14ac:dyDescent="0.25">
      <c r="A30" s="5"/>
      <c r="B30" s="12"/>
      <c r="C30" s="93"/>
      <c r="D30" s="5"/>
      <c r="E30" s="92"/>
      <c r="F30" s="5"/>
      <c r="H30" s="17"/>
    </row>
    <row r="31" spans="1:8" ht="15" thickBot="1" x14ac:dyDescent="0.3">
      <c r="A31" s="1"/>
      <c r="B31" s="459" t="str">
        <f>Langues1!C390</f>
        <v>Finanziamento</v>
      </c>
      <c r="C31" s="460"/>
      <c r="D31" s="460"/>
      <c r="E31" s="461"/>
      <c r="F31" s="462"/>
    </row>
    <row r="32" spans="1:8" ht="24.75" customHeight="1" x14ac:dyDescent="0.25">
      <c r="A32" s="4"/>
      <c r="B32" s="78" t="str">
        <f>'3'!M9</f>
        <v>Prestazioni proprie (lavoro) dell'ente responsabile</v>
      </c>
      <c r="C32" s="23">
        <f>'3'!M21+'3'!M36</f>
        <v>0</v>
      </c>
      <c r="D32" s="237" t="s">
        <v>597</v>
      </c>
      <c r="E32" s="466" t="e">
        <f>SUM('3'!M39+'3'!N39)</f>
        <v>#DIV/0!</v>
      </c>
      <c r="F32" s="238"/>
      <c r="G32" s="5"/>
    </row>
    <row r="33" spans="1:10" ht="24.75" customHeight="1" thickBot="1" x14ac:dyDescent="0.3">
      <c r="A33" s="4"/>
      <c r="B33" s="78" t="str">
        <f>'3'!N9</f>
        <v>Prestazioni proprie (cash) dell'ente responsabile</v>
      </c>
      <c r="C33" s="23">
        <f>'3'!N21+'3'!N36</f>
        <v>0</v>
      </c>
      <c r="D33" s="237" t="s">
        <v>597</v>
      </c>
      <c r="E33" s="467"/>
      <c r="F33" s="238"/>
      <c r="G33" s="5"/>
    </row>
    <row r="34" spans="1:10" ht="13.8" thickBot="1" x14ac:dyDescent="0.3">
      <c r="A34" s="4"/>
      <c r="B34" s="65" t="str">
        <f>'3'!O9</f>
        <v>Altri finanziatori (clienti target)</v>
      </c>
      <c r="C34" s="23">
        <f>'3'!O21+'3'!O36</f>
        <v>0</v>
      </c>
      <c r="D34" s="237" t="s">
        <v>597</v>
      </c>
      <c r="E34" s="260" t="e">
        <f>'3'!O39</f>
        <v>#DIV/0!</v>
      </c>
      <c r="F34" s="238"/>
      <c r="G34" s="5"/>
      <c r="H34" s="31" t="str">
        <f>Langues1!C415</f>
        <v>Principalmente finanziato dai clienti target</v>
      </c>
    </row>
    <row r="35" spans="1:10" x14ac:dyDescent="0.25">
      <c r="A35" s="4"/>
      <c r="B35" s="78" t="str">
        <f>'3'!P9</f>
        <v>Altri fondi di sostegno (eccetto federale)</v>
      </c>
      <c r="C35" s="23">
        <f>'3'!P21+'3'!P36</f>
        <v>0</v>
      </c>
      <c r="D35" s="1" t="s">
        <v>597</v>
      </c>
      <c r="E35" s="262" t="e">
        <f>'3'!P39</f>
        <v>#DIV/0!</v>
      </c>
      <c r="F35" s="238"/>
      <c r="G35" s="5"/>
      <c r="H35" s="31" t="str">
        <f>Langues1!C412</f>
        <v>Contributi ricevuti "a fondo perso" (cantone, comuni, fondazioni, aziende elettriche, ecc.)</v>
      </c>
    </row>
    <row r="36" spans="1:10" ht="7.5" customHeight="1" x14ac:dyDescent="0.25">
      <c r="A36" s="5"/>
      <c r="B36" s="5"/>
      <c r="C36" s="91"/>
      <c r="D36" s="5"/>
      <c r="E36" s="92"/>
      <c r="F36" s="264" t="e">
        <f>SUM(F29,E32:E35)</f>
        <v>#DIV/0!</v>
      </c>
    </row>
    <row r="37" spans="1:10" ht="15" thickBot="1" x14ac:dyDescent="0.3">
      <c r="A37" s="1"/>
      <c r="B37" s="459" t="str">
        <f>Langues1!C592</f>
        <v>Indici</v>
      </c>
      <c r="C37" s="460"/>
      <c r="D37" s="460"/>
      <c r="E37" s="461"/>
      <c r="F37" s="462"/>
      <c r="J37" s="69"/>
    </row>
    <row r="38" spans="1:10" ht="25.5" customHeight="1" thickBot="1" x14ac:dyDescent="0.3">
      <c r="A38" s="4"/>
      <c r="B38" s="13" t="str">
        <f>Langues1!C125</f>
        <v>Contributo di incentivazione Prokilowatt (IVA inclusa)</v>
      </c>
      <c r="C38" s="42">
        <f>'3'!Q41</f>
        <v>0</v>
      </c>
      <c r="D38" s="237" t="s">
        <v>597</v>
      </c>
      <c r="E38" s="261" t="e">
        <f>'3'!R41</f>
        <v>#DIV/0!</v>
      </c>
      <c r="F38" s="272"/>
      <c r="G38" s="5"/>
      <c r="H38" s="31" t="str">
        <f>Langues1!C596</f>
        <v>Quota dei contributo di incentivazione ProKilowatt a costi totali senza gli costi di clienti target</v>
      </c>
    </row>
    <row r="39" spans="1:10" ht="25.5" customHeight="1" thickBot="1" x14ac:dyDescent="0.3">
      <c r="A39" s="4"/>
      <c r="B39" s="468" t="str">
        <f>Langues1!C585</f>
        <v>Quota dei costi di gestione e costi per le misure complementari</v>
      </c>
      <c r="C39" s="470">
        <f>SUM('3'!I21:J21)</f>
        <v>0</v>
      </c>
      <c r="D39" s="472" t="s">
        <v>597</v>
      </c>
      <c r="E39" s="261" t="e">
        <f>SUM('3'!I22:J22)</f>
        <v>#DIV/0!</v>
      </c>
      <c r="F39" s="273"/>
      <c r="G39" s="5"/>
      <c r="H39" s="31" t="str">
        <f>Langues1!C593</f>
        <v>Quota dei costi di gestione e costi per le misure complementari a costi totali</v>
      </c>
    </row>
    <row r="40" spans="1:10" ht="25.5" customHeight="1" thickBot="1" x14ac:dyDescent="0.3">
      <c r="A40" s="4"/>
      <c r="B40" s="469"/>
      <c r="C40" s="471"/>
      <c r="D40" s="473"/>
      <c r="E40" s="263" t="e">
        <f>'3'!I23</f>
        <v>#DIV/0!</v>
      </c>
      <c r="F40" s="274"/>
      <c r="G40" s="5"/>
      <c r="H40" s="31" t="str">
        <f>Langues1!C594</f>
        <v>Quota dei costi di gestione e costi per le misure complementari a costi totali senza gli costi di clienti target</v>
      </c>
    </row>
    <row r="41" spans="1:10" ht="40.5" customHeight="1" thickBot="1" x14ac:dyDescent="0.3">
      <c r="A41" s="4"/>
      <c r="B41" s="228" t="str">
        <f>Langues1!C583</f>
        <v>Quota del contributo di incentivazione per gli investimenti dei clienti target (Media ponderata)</v>
      </c>
      <c r="C41" s="227" t="e">
        <f>'3'!G36</f>
        <v>#DIV/0!</v>
      </c>
      <c r="D41" s="237" t="str">
        <f>Langues1!C515</f>
        <v>[CHF / unità]</v>
      </c>
      <c r="E41" s="261" t="e">
        <f>'3'!I37</f>
        <v>#DIV/0!</v>
      </c>
      <c r="F41" s="275"/>
      <c r="G41" s="5"/>
      <c r="H41" s="31" t="str">
        <f>Langues1!C583</f>
        <v>Quota del contributo di incentivazione per gli investimenti dei clienti target (Media ponderata)</v>
      </c>
    </row>
    <row r="42" spans="1:10" ht="7.5" customHeight="1" x14ac:dyDescent="0.25">
      <c r="A42" s="5"/>
      <c r="B42" s="5"/>
      <c r="C42" s="5"/>
      <c r="D42" s="5"/>
      <c r="E42" s="5"/>
      <c r="F42" s="5"/>
    </row>
    <row r="43" spans="1:10" ht="14.4" hidden="1" x14ac:dyDescent="0.25">
      <c r="A43" s="1"/>
      <c r="B43" s="459" t="str">
        <f>Langues1!C146</f>
        <v>Periodo di payback del programma</v>
      </c>
      <c r="C43" s="460"/>
      <c r="D43" s="460"/>
      <c r="E43" s="460"/>
      <c r="F43" s="462"/>
    </row>
    <row r="44" spans="1:10" ht="40.5" hidden="1" customHeight="1" x14ac:dyDescent="0.25">
      <c r="A44" s="1"/>
      <c r="B44" s="98" t="str">
        <f>Langues1!C126</f>
        <v>Periodo di payback del programma (senza mezzi per l'incentivazione impiegati)</v>
      </c>
      <c r="C44" s="97"/>
      <c r="D44" s="96"/>
      <c r="E44" s="68">
        <f>IF(ISERROR((C29-C35)/E22),0,(C29-C35)/E22)</f>
        <v>0</v>
      </c>
      <c r="F44" s="1" t="str">
        <f>Langues1!C132</f>
        <v>[anno/anni]</v>
      </c>
      <c r="H44" s="31" t="str">
        <f>Langues1!C126</f>
        <v>Periodo di payback del programma (senza mezzi per l'incentivazione impiegati)</v>
      </c>
    </row>
    <row r="45" spans="1:10" ht="40.5" hidden="1" customHeight="1" x14ac:dyDescent="0.25">
      <c r="A45" s="1"/>
      <c r="B45" s="284" t="str">
        <f>Langues1!C605</f>
        <v>Periodo di payback del programma (con i mezzi per l'incentivazione impiegati)</v>
      </c>
      <c r="C45" s="283"/>
      <c r="D45" s="282"/>
      <c r="E45" s="68">
        <f>IF(ISERROR((C29-C38-C35)/E22),0,(C29-C38-C35)/E22)</f>
        <v>0</v>
      </c>
      <c r="F45" s="1" t="str">
        <f>Langues1!C132</f>
        <v>[anno/anni]</v>
      </c>
      <c r="H45" s="31" t="str">
        <f>Langues1!C605</f>
        <v>Periodo di payback del programma (con i mezzi per l'incentivazione impiegati)</v>
      </c>
    </row>
    <row r="46" spans="1:10" ht="7.5" hidden="1" customHeight="1" x14ac:dyDescent="0.25">
      <c r="A46" s="5"/>
      <c r="B46" s="5"/>
      <c r="C46" s="5"/>
      <c r="D46" s="5"/>
      <c r="E46" s="94"/>
      <c r="F46" s="5"/>
    </row>
    <row r="47" spans="1:10" ht="14.4" x14ac:dyDescent="0.25">
      <c r="A47" s="1"/>
      <c r="B47" s="459" t="str">
        <f>Langues1!C127</f>
        <v>Efficienza del programma</v>
      </c>
      <c r="C47" s="460"/>
      <c r="D47" s="460"/>
      <c r="E47" s="460"/>
      <c r="F47" s="462"/>
    </row>
    <row r="48" spans="1:10" ht="25.5" customHeight="1" x14ac:dyDescent="0.25">
      <c r="A48" s="1"/>
      <c r="B48" s="78" t="str">
        <f>Langues1!C128</f>
        <v>Efficienza dei mezzi per l'incentivazione impiegati</v>
      </c>
      <c r="C48" s="1"/>
      <c r="D48" s="1"/>
      <c r="E48" s="374">
        <f>IF(C23=0,0,C38/C23*100)</f>
        <v>0</v>
      </c>
      <c r="F48" s="79" t="str">
        <f>Langues1!C131</f>
        <v>[Cent./kWh]</v>
      </c>
      <c r="H48" s="137" t="str">
        <f>Langues1!C147</f>
        <v>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v>
      </c>
    </row>
  </sheetData>
  <sheetProtection algorithmName="SHA-512" hashValue="Korodp1PPfVrRxOkExnQYSSPUiiVzJmwL8tuzbhswTxzhElg0ePmUILUcGki20ONyV/CCQQqVv/sMtcIKGZ4jg==" saltValue="MKd29cztK/UK3xHLUq/K9g==" spinCount="100000" sheet="1" objects="1" scenarios="1"/>
  <mergeCells count="21">
    <mergeCell ref="H2:H4"/>
    <mergeCell ref="A1:B2"/>
    <mergeCell ref="C1:F1"/>
    <mergeCell ref="C2:E2"/>
    <mergeCell ref="A3:B3"/>
    <mergeCell ref="C3:E3"/>
    <mergeCell ref="A4:B4"/>
    <mergeCell ref="C4:E4"/>
    <mergeCell ref="B37:F37"/>
    <mergeCell ref="B43:F43"/>
    <mergeCell ref="B47:F47"/>
    <mergeCell ref="B7:F7"/>
    <mergeCell ref="B11:F11"/>
    <mergeCell ref="B17:F17"/>
    <mergeCell ref="B21:F21"/>
    <mergeCell ref="B31:F31"/>
    <mergeCell ref="E32:E33"/>
    <mergeCell ref="B39:B40"/>
    <mergeCell ref="C39:C40"/>
    <mergeCell ref="D39:D40"/>
    <mergeCell ref="C9:F9"/>
  </mergeCells>
  <phoneticPr fontId="30"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7" sqref="E1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68.44140625" style="9" customWidth="1"/>
    <col min="8" max="8" width="71.33203125" style="9" customWidth="1"/>
    <col min="9" max="16384" width="11.44140625" style="9"/>
  </cols>
  <sheetData>
    <row r="1" spans="1:8" ht="24.75" customHeight="1" x14ac:dyDescent="0.25">
      <c r="A1" s="479"/>
      <c r="B1" s="480"/>
      <c r="C1" s="483" t="str">
        <f>Menu!C15</f>
        <v>Descrittivo del programma</v>
      </c>
      <c r="D1" s="484"/>
      <c r="E1" s="485"/>
      <c r="G1" s="35" t="str">
        <f>Langues1!C166</f>
        <v>Istruzioni e spiegazioni</v>
      </c>
    </row>
    <row r="2" spans="1:8" ht="21" customHeight="1" x14ac:dyDescent="0.25">
      <c r="A2" s="481"/>
      <c r="B2" s="482"/>
      <c r="C2" s="486" t="str">
        <f>Langues1!C107</f>
        <v>Stato</v>
      </c>
      <c r="D2" s="502"/>
      <c r="E2" s="1">
        <f>SUM(F12:F18)</f>
        <v>5</v>
      </c>
    </row>
    <row r="3" spans="1:8" x14ac:dyDescent="0.25">
      <c r="A3" s="488" t="str">
        <f>'0'!A3</f>
        <v>Partner principale</v>
      </c>
      <c r="B3" s="488"/>
      <c r="C3" s="489">
        <f>'2'!C7</f>
        <v>0</v>
      </c>
      <c r="D3" s="493"/>
      <c r="E3" s="1"/>
    </row>
    <row r="4" spans="1:8" x14ac:dyDescent="0.25">
      <c r="A4" s="491" t="str">
        <f>'0'!A4</f>
        <v>Acronimo del programma</v>
      </c>
      <c r="B4" s="492"/>
      <c r="C4" s="489">
        <f>'1'!C8</f>
        <v>0</v>
      </c>
      <c r="D4" s="493"/>
      <c r="E4" s="1"/>
    </row>
    <row r="5" spans="1:8" x14ac:dyDescent="0.25">
      <c r="A5" s="10">
        <v>1.1000000000000001</v>
      </c>
      <c r="B5" s="455" t="str">
        <f>Langues1!C152</f>
        <v>Definizione del programma</v>
      </c>
      <c r="C5" s="504"/>
      <c r="D5" s="504"/>
      <c r="E5" s="504"/>
    </row>
    <row r="6" spans="1:8" ht="12.75" customHeight="1" x14ac:dyDescent="0.25">
      <c r="A6" s="14"/>
      <c r="B6" s="2" t="str">
        <f>Langues1!C648</f>
        <v>Settore</v>
      </c>
      <c r="C6" s="500"/>
      <c r="D6" s="500"/>
      <c r="E6" s="500"/>
      <c r="F6" s="5">
        <f>COUNTBLANK(C6)</f>
        <v>1</v>
      </c>
    </row>
    <row r="7" spans="1:8" ht="20.100000000000001" customHeight="1" x14ac:dyDescent="0.25">
      <c r="A7" s="14"/>
      <c r="B7" s="2" t="str">
        <f>Langues1!C153</f>
        <v>Nome del programma</v>
      </c>
      <c r="C7" s="500"/>
      <c r="D7" s="500"/>
      <c r="E7" s="500"/>
      <c r="F7" s="5">
        <f>COUNTBLANK(C7)</f>
        <v>1</v>
      </c>
      <c r="G7" s="11" t="str">
        <f>Langues1!C164</f>
        <v>Titolo del programma</v>
      </c>
    </row>
    <row r="8" spans="1:8" ht="20.100000000000001" customHeight="1" x14ac:dyDescent="0.25">
      <c r="A8" s="14"/>
      <c r="B8" s="2" t="str">
        <f>Langues1!C154</f>
        <v>Acronimo del programma</v>
      </c>
      <c r="C8" s="500"/>
      <c r="D8" s="500"/>
      <c r="E8" s="500"/>
      <c r="F8" s="5">
        <f>COUNTBLANK(C8)</f>
        <v>1</v>
      </c>
      <c r="G8" s="11" t="str">
        <f>Langues1!C165</f>
        <v>Descrittivo (abbreviazione) del programma (max. 15 caratteri)</v>
      </c>
    </row>
    <row r="9" spans="1:8" ht="28.5" hidden="1" customHeight="1" x14ac:dyDescent="0.25">
      <c r="A9" s="14"/>
      <c r="B9" s="13" t="str">
        <f>Langues1!C586</f>
        <v>Tipo di programma</v>
      </c>
      <c r="C9" s="501" t="str">
        <f>Ctrl!$A$3</f>
        <v>Programma</v>
      </c>
      <c r="D9" s="501"/>
      <c r="E9" s="501"/>
      <c r="F9" s="5">
        <f>COUNTBLANK(C9)</f>
        <v>0</v>
      </c>
      <c r="G9" s="17" t="str">
        <f>Langues1!C595</f>
        <v>Se si tratta di un programma o di un programma settoriale bisogna selezionare il programma specifico.</v>
      </c>
    </row>
    <row r="11" spans="1:8" x14ac:dyDescent="0.25">
      <c r="A11" s="10">
        <v>1.2</v>
      </c>
      <c r="B11" s="505" t="str">
        <f>Langues1!C155</f>
        <v>Descrittivo del programma (Management Summary; pubblicato in caso di aggiudicazione!)</v>
      </c>
      <c r="C11" s="505"/>
      <c r="D11" s="505"/>
      <c r="E11" s="505"/>
      <c r="F11" s="9">
        <f>LEN(B12)</f>
        <v>0</v>
      </c>
      <c r="H11" s="9" t="str">
        <f>Langues1!C174</f>
        <v>Esempio</v>
      </c>
    </row>
    <row r="12" spans="1:8" ht="399.9" customHeight="1" x14ac:dyDescent="0.25">
      <c r="A12" s="14"/>
      <c r="B12" s="494"/>
      <c r="C12" s="495"/>
      <c r="D12" s="495"/>
      <c r="E12" s="496"/>
      <c r="F12" s="5">
        <f>IF(OR(F11&gt;2000,COUNTBLANK(B12)),1,0)</f>
        <v>1</v>
      </c>
      <c r="G12" s="152" t="str">
        <f>Langues1!C167</f>
        <v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v>
      </c>
      <c r="H12" s="31" t="str">
        <f>Langues1!C175</f>
        <v>-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v>
      </c>
    </row>
    <row r="13" spans="1:8" ht="20.100000000000001" customHeight="1" x14ac:dyDescent="0.25">
      <c r="A13" s="14"/>
      <c r="B13" s="454" t="str">
        <f>Langues1!C156</f>
        <v>Orientamento geografico (copertura) delle misure</v>
      </c>
      <c r="C13" s="454"/>
      <c r="D13" s="454"/>
      <c r="E13" s="134"/>
      <c r="F13" s="5">
        <f>COUNTBLANK(E13)</f>
        <v>1</v>
      </c>
      <c r="G13" s="17" t="str">
        <f>Langues1!C168</f>
        <v>Copertura geografica del programma</v>
      </c>
      <c r="H13" s="9">
        <f>LEN(H12)</f>
        <v>1788</v>
      </c>
    </row>
    <row r="14" spans="1:8" ht="39.9" customHeight="1" x14ac:dyDescent="0.25">
      <c r="A14" s="14"/>
      <c r="B14" s="13" t="str">
        <f>Langues1!C157</f>
        <v>Precisazione dell'orientamento geografico</v>
      </c>
      <c r="C14" s="497"/>
      <c r="D14" s="498"/>
      <c r="E14" s="499"/>
      <c r="F14" s="5">
        <f>COUNTBLANK(C14)</f>
        <v>1</v>
      </c>
      <c r="G14" s="328" t="str">
        <f>Langues1!C169</f>
        <v>Spiegazione dell'orientamento geografico</v>
      </c>
    </row>
    <row r="15" spans="1:8" ht="20.100000000000001" customHeight="1" x14ac:dyDescent="0.25">
      <c r="A15" s="14"/>
      <c r="B15" s="454" t="str">
        <f>Langues1!C158</f>
        <v>Quanto dura il programma (indicazione in mesi)?</v>
      </c>
      <c r="C15" s="454"/>
      <c r="D15" s="454"/>
      <c r="E15" s="337" t="str">
        <f>IF(E17&lt;&gt;"",(YEAR(E17)-YEAR(D17))*12+MONTH(E17)-MONTH(D17),"")</f>
        <v/>
      </c>
      <c r="F15" s="5">
        <f>IF(OR($E$15&lt;12,E15&gt;36),1,0)</f>
        <v>1</v>
      </c>
      <c r="G15" s="328" t="str">
        <f>Langues1!C170</f>
        <v>Durata del programma (mesi) compresa tra 12 e 36 mesi</v>
      </c>
    </row>
    <row r="16" spans="1:8" ht="12.75" customHeight="1" x14ac:dyDescent="0.25">
      <c r="A16" s="4"/>
      <c r="B16" s="491" t="str">
        <f>Langues1!C159</f>
        <v>Indicazioni sulla realizzazione</v>
      </c>
      <c r="C16" s="503"/>
      <c r="D16" s="2" t="str">
        <f>Langues1!C162</f>
        <v>Inizio [mese, anno]</v>
      </c>
      <c r="E16" s="64" t="str">
        <f>Langues1!C163</f>
        <v>Fine [mese, anno]</v>
      </c>
      <c r="G16" s="17"/>
    </row>
    <row r="17" spans="1:7" ht="25.5" customHeight="1" x14ac:dyDescent="0.25">
      <c r="A17" s="14"/>
      <c r="B17" s="454" t="str">
        <f>Langues1!C160</f>
        <v>Data di realizzazione del programma</v>
      </c>
      <c r="C17" s="454"/>
      <c r="D17" s="398">
        <v>44256</v>
      </c>
      <c r="E17" s="302"/>
      <c r="F17" s="5">
        <f>IF(OR(D17&lt;DATEVALUE("11.09.2020"),E17&gt;DATEVALUE("31.03.2024")),1,COUNTBLANK(D17:E17))</f>
        <v>1</v>
      </c>
      <c r="G17" s="33" t="str">
        <f>Langues1!C171</f>
        <v>Indicazione delle date di inizio (&gt; 01.03.2021) e fine (&lt; 01.03.2024) del programma</v>
      </c>
    </row>
    <row r="18" spans="1:7" ht="60" customHeight="1" x14ac:dyDescent="0.25">
      <c r="A18" s="4"/>
      <c r="B18" s="22" t="str">
        <f>Langues1!C161</f>
        <v>Osservazioni sul programma della realizzazione</v>
      </c>
      <c r="C18" s="497"/>
      <c r="D18" s="498"/>
      <c r="E18" s="499"/>
      <c r="F18" s="3"/>
      <c r="G18" s="33" t="str">
        <f>Langues1!C172</f>
        <v>Osservazioni sulla data più presto possibile per l'inizio e sul programma della realizzazione</v>
      </c>
    </row>
  </sheetData>
  <sheetProtection algorithmName="SHA-512" hashValue="Yjtxot1Q9HO9Kv5zNPWGgNMyGol4qxPslod+HB9KJ2+1z737y710odtCoViaoOtz87kKJxkgoKgqNPBXtSHcIw==" saltValue="E/DZZSvtPlvEqIb7Hr4djw==" spinCount="100000" sheet="1" objects="1" scenarios="1" formatCells="0" formatColumns="0" formatRows="0"/>
  <mergeCells count="20">
    <mergeCell ref="B16:C16"/>
    <mergeCell ref="B17:C17"/>
    <mergeCell ref="B5:E5"/>
    <mergeCell ref="C6:E6"/>
    <mergeCell ref="C18:E18"/>
    <mergeCell ref="B11:E11"/>
    <mergeCell ref="A1:B2"/>
    <mergeCell ref="C1:E1"/>
    <mergeCell ref="C2:D2"/>
    <mergeCell ref="A3:B3"/>
    <mergeCell ref="C3:D3"/>
    <mergeCell ref="C4:D4"/>
    <mergeCell ref="A4:B4"/>
    <mergeCell ref="B12:E12"/>
    <mergeCell ref="B15:D15"/>
    <mergeCell ref="C14:E14"/>
    <mergeCell ref="B13:D13"/>
    <mergeCell ref="C7:E7"/>
    <mergeCell ref="C8:E8"/>
    <mergeCell ref="C9:E9"/>
  </mergeCells>
  <phoneticPr fontId="30"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01.03.2021_x000a_&lt;01.03.2024_x000a_" sqref="E17" xr:uid="{00000000-0002-0000-0300-000001000000}">
      <formula1>44256</formula1>
      <formula2>45352</formula2>
    </dataValidation>
    <dataValidation type="date" allowBlank="1" showInputMessage="1" showErrorMessage="1" errorTitle="Error" error="Date format : jj.mm.aaaa_x000a_&gt;13.11.2020_x000a_&lt;30.06.2024" sqref="D17" xr:uid="{00000000-0002-0000-0300-000002000000}">
      <formula1>44148</formula1>
      <formula2>45473</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C7" sqref="C7:E7"/>
    </sheetView>
  </sheetViews>
  <sheetFormatPr baseColWidth="10" defaultColWidth="11.44140625" defaultRowHeight="13.2" x14ac:dyDescent="0.25"/>
  <cols>
    <col min="1" max="1" width="3.5546875" style="9" customWidth="1"/>
    <col min="2" max="5" width="20.6640625" style="9" customWidth="1"/>
    <col min="6" max="6" width="5.5546875" style="9" customWidth="1"/>
    <col min="7" max="7" width="70" style="9" customWidth="1"/>
    <col min="8" max="16384" width="11.44140625" style="9"/>
  </cols>
  <sheetData>
    <row r="1" spans="1:7" ht="24.75" customHeight="1" x14ac:dyDescent="0.25">
      <c r="A1" s="479"/>
      <c r="B1" s="480"/>
      <c r="C1" s="483" t="str">
        <f>Menu!C16</f>
        <v>Responsabile / Organizzazione</v>
      </c>
      <c r="D1" s="484"/>
      <c r="E1" s="485"/>
      <c r="G1" s="35" t="str">
        <f>Langues1!C166</f>
        <v>Istruzioni e spiegazioni</v>
      </c>
    </row>
    <row r="2" spans="1:7" ht="21" customHeight="1" x14ac:dyDescent="0.25">
      <c r="A2" s="481"/>
      <c r="B2" s="482"/>
      <c r="C2" s="486" t="str">
        <f>'1'!C2</f>
        <v>Stato</v>
      </c>
      <c r="D2" s="502"/>
      <c r="E2" s="1">
        <f>SUM(F7:F22)</f>
        <v>18</v>
      </c>
      <c r="G2" s="516" t="str">
        <f>Langues1!C197</f>
        <v>Le singole organizzazioni del ente responsabile devono essere dettagliate nel concetto del programma.</v>
      </c>
    </row>
    <row r="3" spans="1:7" x14ac:dyDescent="0.25">
      <c r="A3" s="491" t="str">
        <f>'0'!A3</f>
        <v>Partner principale</v>
      </c>
      <c r="B3" s="492"/>
      <c r="C3" s="489">
        <f>'2'!C7</f>
        <v>0</v>
      </c>
      <c r="D3" s="493"/>
      <c r="E3" s="1"/>
      <c r="G3" s="516"/>
    </row>
    <row r="4" spans="1:7" x14ac:dyDescent="0.25">
      <c r="A4" s="491" t="str">
        <f>'0'!A4</f>
        <v>Acronimo del programma</v>
      </c>
      <c r="B4" s="492"/>
      <c r="C4" s="489">
        <f>'1'!C8</f>
        <v>0</v>
      </c>
      <c r="D4" s="493"/>
      <c r="E4" s="1"/>
      <c r="G4" s="516"/>
    </row>
    <row r="6" spans="1:7" x14ac:dyDescent="0.25">
      <c r="A6" s="10">
        <v>2.1</v>
      </c>
      <c r="B6" s="138" t="s">
        <v>119</v>
      </c>
      <c r="C6" s="138"/>
      <c r="D6" s="138"/>
      <c r="E6" s="138"/>
      <c r="G6" s="138"/>
    </row>
    <row r="7" spans="1:7" ht="20.100000000000001" customHeight="1" x14ac:dyDescent="0.25">
      <c r="A7" s="14"/>
      <c r="B7" s="65" t="str">
        <f>Langues1!C177</f>
        <v>Nome dell'organizzazione</v>
      </c>
      <c r="C7" s="524"/>
      <c r="D7" s="524"/>
      <c r="E7" s="524"/>
      <c r="F7" s="5">
        <f>COUNTBLANK(C7)</f>
        <v>1</v>
      </c>
      <c r="G7" s="38" t="str">
        <f>Langues1!C198</f>
        <v>Nome dell'organizzazione dell'ente responsabile</v>
      </c>
    </row>
    <row r="8" spans="1:7" ht="80.099999999999994" customHeight="1" x14ac:dyDescent="0.25">
      <c r="A8" s="14"/>
      <c r="B8" s="78" t="str">
        <f>Langues1!C210</f>
        <v>Ruolo e funzione nel programma</v>
      </c>
      <c r="C8" s="517"/>
      <c r="D8" s="518"/>
      <c r="E8" s="519"/>
      <c r="F8" s="5">
        <f>COUNTBLANK(C8)</f>
        <v>1</v>
      </c>
      <c r="G8" s="33" t="str">
        <f>Langues1!C211</f>
        <v>Descrizione del ruolo e della funzione dell'organizzazione nel programma</v>
      </c>
    </row>
    <row r="9" spans="1:7" ht="19.5" customHeight="1" x14ac:dyDescent="0.25">
      <c r="A9" s="14"/>
      <c r="B9" s="65" t="str">
        <f>Langues1!C178</f>
        <v>Forma giuridica</v>
      </c>
      <c r="C9" s="511"/>
      <c r="D9" s="512"/>
      <c r="E9" s="513"/>
      <c r="F9" s="5">
        <f>COUNTBLANK(C9)</f>
        <v>1</v>
      </c>
      <c r="G9" s="38" t="str">
        <f>B9</f>
        <v>Forma giuridica</v>
      </c>
    </row>
    <row r="10" spans="1:7" ht="53.25" customHeight="1" x14ac:dyDescent="0.25">
      <c r="A10" s="4"/>
      <c r="B10" s="78" t="str">
        <f>Langues1!C179</f>
        <v>Spiegazione della forma giuridica</v>
      </c>
      <c r="C10" s="520"/>
      <c r="D10" s="521"/>
      <c r="E10" s="522"/>
      <c r="F10" s="5">
        <f>COUNTBLANK(C10)</f>
        <v>1</v>
      </c>
      <c r="G10" s="33" t="str">
        <f>Langues1!C199</f>
        <v xml:space="preserve">Spiegazione o precisazione sulla forma giuridica qualora si tratti di persona privata, ente di diritto pubblico o altro </v>
      </c>
    </row>
    <row r="11" spans="1:7" ht="20.100000000000001" customHeight="1" x14ac:dyDescent="0.25">
      <c r="A11" s="14"/>
      <c r="B11" s="65" t="str">
        <f>Langues1!C180</f>
        <v>Indirizzo</v>
      </c>
      <c r="C11" s="507"/>
      <c r="D11" s="523"/>
      <c r="E11" s="523"/>
      <c r="F11" s="5">
        <f>COUNTBLANK(C11)</f>
        <v>1</v>
      </c>
      <c r="G11" s="33" t="str">
        <f>Langues1!C200</f>
        <v>Via; indirizzo</v>
      </c>
    </row>
    <row r="12" spans="1:7" ht="20.100000000000001" customHeight="1" x14ac:dyDescent="0.25">
      <c r="A12" s="14"/>
      <c r="B12" s="65" t="str">
        <f>Langues1!C181</f>
        <v>NPA</v>
      </c>
      <c r="C12" s="144"/>
      <c r="D12" s="2" t="str">
        <f>Langues1!C196</f>
        <v>Città</v>
      </c>
      <c r="E12" s="146"/>
      <c r="F12" s="5">
        <f>COUNTBLANK(C12:E12)</f>
        <v>2</v>
      </c>
      <c r="G12" s="33" t="str">
        <f>Langues1!C201</f>
        <v>NPA e città</v>
      </c>
    </row>
    <row r="13" spans="1:7" ht="20.100000000000001" customHeight="1" x14ac:dyDescent="0.25">
      <c r="A13" s="14"/>
      <c r="B13" s="65" t="str">
        <f>Langues1!C188</f>
        <v>Telefono</v>
      </c>
      <c r="C13" s="145"/>
      <c r="D13" s="65" t="str">
        <f>Langues1!C195</f>
        <v>Telefono cellulare</v>
      </c>
      <c r="E13" s="146"/>
      <c r="F13" s="5">
        <f>COUNTBLANK(C13:E13)</f>
        <v>2</v>
      </c>
      <c r="G13" s="38" t="str">
        <f>Langues1!C204</f>
        <v>Inserimento dei numeri nella forma "044 245 65 43"</v>
      </c>
    </row>
    <row r="14" spans="1:7" ht="20.100000000000001" customHeight="1" x14ac:dyDescent="0.25">
      <c r="A14" s="14"/>
      <c r="B14" s="65" t="str">
        <f>Langues1!C189</f>
        <v>E-mail</v>
      </c>
      <c r="C14" s="506"/>
      <c r="D14" s="507"/>
      <c r="E14" s="507"/>
      <c r="F14" s="5">
        <f>COUNTBLANK(C14)</f>
        <v>1</v>
      </c>
      <c r="G14" s="21"/>
    </row>
    <row r="15" spans="1:7" ht="20.100000000000001" customHeight="1" x14ac:dyDescent="0.25">
      <c r="A15" s="14"/>
      <c r="B15" s="65" t="str">
        <f>Langues1!C182</f>
        <v>Sito Internet</v>
      </c>
      <c r="C15" s="508"/>
      <c r="D15" s="509"/>
      <c r="E15" s="510"/>
      <c r="F15" s="5">
        <f>COUNTBLANK(C15)</f>
        <v>1</v>
      </c>
      <c r="G15" s="33" t="str">
        <f>Langues1!C182</f>
        <v>Sito Internet</v>
      </c>
    </row>
    <row r="16" spans="1:7" x14ac:dyDescent="0.25">
      <c r="G16" s="21"/>
    </row>
    <row r="17" spans="1:7" x14ac:dyDescent="0.25">
      <c r="A17" s="10">
        <v>2.2000000000000002</v>
      </c>
      <c r="B17" s="455" t="str">
        <f>Langues1!C184</f>
        <v>Referente per le gare pubbliche</v>
      </c>
      <c r="C17" s="504"/>
      <c r="D17" s="504"/>
      <c r="E17" s="504"/>
      <c r="G17" s="21"/>
    </row>
    <row r="18" spans="1:7" ht="19.5" customHeight="1" x14ac:dyDescent="0.25">
      <c r="A18" s="14"/>
      <c r="B18" s="65" t="str">
        <f>Langues1!C177</f>
        <v>Nome dell'organizzazione</v>
      </c>
      <c r="C18" s="511"/>
      <c r="D18" s="512"/>
      <c r="E18" s="513"/>
      <c r="F18" s="5">
        <f>COUNTBLANK(C18)</f>
        <v>1</v>
      </c>
      <c r="G18" s="21" t="str">
        <f>Langues1!C203</f>
        <v>Nome dell'organizzazione del referente</v>
      </c>
    </row>
    <row r="19" spans="1:7" ht="19.5" customHeight="1" x14ac:dyDescent="0.25">
      <c r="A19" s="14"/>
      <c r="B19" s="65" t="str">
        <f>Langues1!C186</f>
        <v>Cognome</v>
      </c>
      <c r="C19" s="147"/>
      <c r="D19" s="65" t="str">
        <f>Langues1!C194</f>
        <v>Nome</v>
      </c>
      <c r="E19" s="150"/>
      <c r="F19" s="5">
        <f>COUNTBLANK(C19:E19)</f>
        <v>2</v>
      </c>
      <c r="G19" s="38"/>
    </row>
    <row r="20" spans="1:7" ht="19.5" customHeight="1" x14ac:dyDescent="0.25">
      <c r="A20" s="14"/>
      <c r="B20" s="65" t="str">
        <f>Langues1!C187</f>
        <v>Funzione</v>
      </c>
      <c r="C20" s="511"/>
      <c r="D20" s="512"/>
      <c r="E20" s="513"/>
      <c r="F20" s="5">
        <f>COUNTBLANK(C20)</f>
        <v>1</v>
      </c>
      <c r="G20" s="21"/>
    </row>
    <row r="21" spans="1:7" ht="19.5" customHeight="1" x14ac:dyDescent="0.25">
      <c r="A21" s="14"/>
      <c r="B21" s="65" t="str">
        <f>Langues1!C188</f>
        <v>Telefono</v>
      </c>
      <c r="C21" s="148"/>
      <c r="D21" s="65" t="str">
        <f>Langues1!C195</f>
        <v>Telefono cellulare</v>
      </c>
      <c r="E21" s="149"/>
      <c r="F21" s="5">
        <f>COUNTBLANK(C21:E21)</f>
        <v>2</v>
      </c>
      <c r="G21" s="38" t="str">
        <f>Langues1!C204</f>
        <v>Inserimento dei numeri nella forma "044 245 65 43"</v>
      </c>
    </row>
    <row r="22" spans="1:7" ht="19.5" customHeight="1" x14ac:dyDescent="0.25">
      <c r="A22" s="14"/>
      <c r="B22" s="65" t="str">
        <f>Langues1!C189</f>
        <v>E-mail</v>
      </c>
      <c r="C22" s="508"/>
      <c r="D22" s="514"/>
      <c r="E22" s="515"/>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G2:G4"/>
    <mergeCell ref="C8:E8"/>
    <mergeCell ref="C10:E10"/>
    <mergeCell ref="C11:E11"/>
    <mergeCell ref="C7:E7"/>
    <mergeCell ref="C9:E9"/>
    <mergeCell ref="C14:E14"/>
    <mergeCell ref="C15:E15"/>
    <mergeCell ref="C18:E18"/>
    <mergeCell ref="C20:E20"/>
    <mergeCell ref="C22:E22"/>
    <mergeCell ref="B17:E17"/>
    <mergeCell ref="A3:B3"/>
    <mergeCell ref="A4:B4"/>
    <mergeCell ref="A1:B2"/>
    <mergeCell ref="C2:D2"/>
    <mergeCell ref="C3:D3"/>
    <mergeCell ref="C4:D4"/>
    <mergeCell ref="C1:E1"/>
  </mergeCells>
  <phoneticPr fontId="22"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topLeftCell="A16" zoomScale="85" zoomScaleNormal="85" workbookViewId="0">
      <selection activeCell="D27" sqref="D27"/>
    </sheetView>
  </sheetViews>
  <sheetFormatPr baseColWidth="10" defaultColWidth="11.44140625" defaultRowHeight="13.2" x14ac:dyDescent="0.25"/>
  <cols>
    <col min="1" max="1" width="5.88671875" style="71" customWidth="1"/>
    <col min="2" max="2" width="4.6640625" style="71" customWidth="1"/>
    <col min="3" max="3" width="26.6640625" style="71" customWidth="1"/>
    <col min="4" max="4" width="28.5546875" style="71" bestFit="1" customWidth="1"/>
    <col min="5" max="5" width="15.109375" style="293" customWidth="1"/>
    <col min="6" max="6" width="15.109375" style="71" customWidth="1"/>
    <col min="7" max="7" width="20" style="71" bestFit="1" customWidth="1"/>
    <col min="8" max="8" width="15.109375" style="71" customWidth="1"/>
    <col min="9" max="9" width="17.88671875" style="71" bestFit="1" customWidth="1"/>
    <col min="10" max="10" width="15.109375" style="71" customWidth="1"/>
    <col min="11" max="11" width="7.6640625" style="71" bestFit="1" customWidth="1"/>
    <col min="12" max="12" width="15.109375" style="71" customWidth="1"/>
    <col min="13" max="14" width="16.6640625" style="71" bestFit="1" customWidth="1"/>
    <col min="15" max="17" width="15.109375" style="71" customWidth="1"/>
    <col min="18" max="18" width="7.6640625" style="71" bestFit="1" customWidth="1"/>
    <col min="19" max="19" width="4.6640625" style="71" customWidth="1"/>
    <col min="20" max="20" width="7.6640625" style="71" bestFit="1" customWidth="1"/>
    <col min="21" max="21" width="164.5546875" style="71" customWidth="1"/>
    <col min="22" max="22" width="54.33203125" style="71" customWidth="1"/>
    <col min="23" max="23" width="11.44140625" style="25" customWidth="1"/>
    <col min="24" max="29" width="11.44140625" style="71" customWidth="1"/>
    <col min="30" max="16384" width="11.44140625" style="71"/>
  </cols>
  <sheetData>
    <row r="1" spans="1:28" ht="24.75" customHeight="1" x14ac:dyDescent="0.25">
      <c r="B1" s="548"/>
      <c r="C1" s="548"/>
      <c r="D1" s="154" t="str">
        <f>Langues1!C384</f>
        <v>Budget (quantificazione)</v>
      </c>
      <c r="E1" s="285"/>
      <c r="F1" s="155"/>
      <c r="G1" s="155"/>
      <c r="H1" s="155"/>
      <c r="I1" s="155"/>
      <c r="J1" s="163"/>
      <c r="K1" s="166"/>
      <c r="L1" s="154" t="str">
        <f>Langues1!C385</f>
        <v>Finanziamento (quantificazione)</v>
      </c>
      <c r="M1" s="155"/>
      <c r="N1" s="155"/>
      <c r="O1" s="155"/>
      <c r="P1" s="155"/>
      <c r="Q1" s="155"/>
      <c r="R1" s="556"/>
      <c r="S1" s="556"/>
      <c r="T1" s="556"/>
      <c r="V1" s="72"/>
    </row>
    <row r="2" spans="1:28" ht="21" customHeight="1" x14ac:dyDescent="0.25">
      <c r="B2" s="548"/>
      <c r="C2" s="548"/>
      <c r="D2" s="562" t="str">
        <f>Langues1!C511</f>
        <v>Stato budget</v>
      </c>
      <c r="E2" s="563"/>
      <c r="F2" s="563"/>
      <c r="G2" s="563"/>
      <c r="H2" s="563"/>
      <c r="I2" s="563"/>
      <c r="J2" s="100">
        <f>(SUM(K11:K12,K14:K20,K27:K35))</f>
        <v>6</v>
      </c>
      <c r="K2" s="166"/>
      <c r="L2" s="562" t="str">
        <f>Langues1!C545</f>
        <v>Stato finanziamento</v>
      </c>
      <c r="M2" s="563"/>
      <c r="N2" s="563"/>
      <c r="O2" s="563"/>
      <c r="P2" s="563"/>
      <c r="Q2" s="563"/>
      <c r="R2" s="567">
        <f>SUM(T11:T21,T27:T35,T37,T41)</f>
        <v>2</v>
      </c>
      <c r="S2" s="567"/>
      <c r="T2" s="567"/>
    </row>
    <row r="3" spans="1:28" x14ac:dyDescent="0.25">
      <c r="B3" s="551" t="str">
        <f>'0'!A3</f>
        <v>Partner principale</v>
      </c>
      <c r="C3" s="552"/>
      <c r="D3" s="161">
        <f>'2'!C7</f>
        <v>0</v>
      </c>
      <c r="E3" s="286"/>
      <c r="F3" s="162"/>
      <c r="G3" s="162"/>
      <c r="H3" s="162"/>
      <c r="I3" s="162"/>
      <c r="J3" s="164"/>
      <c r="K3" s="167"/>
      <c r="L3" s="161"/>
      <c r="M3" s="162"/>
      <c r="N3" s="162"/>
      <c r="O3" s="162"/>
      <c r="P3" s="162"/>
      <c r="Q3" s="162"/>
      <c r="R3" s="557" t="s">
        <v>1396</v>
      </c>
      <c r="S3" s="558"/>
      <c r="T3" s="558"/>
    </row>
    <row r="4" spans="1:28" x14ac:dyDescent="0.25">
      <c r="B4" s="551" t="str">
        <f>'0'!A4</f>
        <v>Acronimo del programma</v>
      </c>
      <c r="C4" s="552"/>
      <c r="D4" s="161">
        <f>'1'!C8</f>
        <v>0</v>
      </c>
      <c r="E4" s="286"/>
      <c r="F4" s="162"/>
      <c r="G4" s="162"/>
      <c r="H4" s="162"/>
      <c r="I4" s="162"/>
      <c r="J4" s="164"/>
      <c r="K4" s="167"/>
      <c r="L4" s="161"/>
      <c r="M4" s="162"/>
      <c r="N4" s="162"/>
      <c r="O4" s="162"/>
      <c r="P4" s="162"/>
      <c r="Q4" s="162"/>
      <c r="R4" s="558"/>
      <c r="S4" s="558"/>
      <c r="T4" s="558"/>
    </row>
    <row r="5" spans="1:28" x14ac:dyDescent="0.25">
      <c r="B5" s="139"/>
      <c r="C5" s="139"/>
      <c r="D5" s="86"/>
      <c r="E5" s="86"/>
      <c r="F5" s="86"/>
      <c r="G5" s="86"/>
      <c r="H5" s="86"/>
      <c r="I5" s="86"/>
      <c r="J5" s="86"/>
      <c r="K5" s="87"/>
      <c r="L5" s="86"/>
      <c r="M5" s="86"/>
      <c r="N5" s="86"/>
      <c r="O5" s="86"/>
      <c r="P5" s="86"/>
      <c r="Q5" s="75"/>
      <c r="R5" s="75"/>
      <c r="T5" s="75"/>
      <c r="U5" s="88"/>
      <c r="V5" s="75"/>
    </row>
    <row r="6" spans="1:28" s="140" customFormat="1" x14ac:dyDescent="0.25">
      <c r="B6" s="231">
        <v>3.1</v>
      </c>
      <c r="C6" s="549" t="str">
        <f>Langues1!C348</f>
        <v>Costi</v>
      </c>
      <c r="D6" s="549"/>
      <c r="E6" s="169"/>
      <c r="F6" s="169"/>
      <c r="G6" s="169"/>
      <c r="H6" s="169"/>
      <c r="I6" s="169"/>
      <c r="J6" s="169"/>
      <c r="K6" s="232">
        <v>3.2</v>
      </c>
      <c r="L6" s="232" t="str">
        <f>Langues1!C390</f>
        <v>Finanziamento</v>
      </c>
      <c r="M6" s="169"/>
      <c r="N6" s="169"/>
      <c r="O6" s="169"/>
      <c r="P6" s="169"/>
      <c r="Q6" s="168"/>
      <c r="R6" s="168"/>
      <c r="T6" s="168"/>
      <c r="U6" s="170"/>
      <c r="V6" s="168"/>
      <c r="W6" s="265"/>
    </row>
    <row r="7" spans="1:28" s="140" customFormat="1" ht="78" customHeight="1" x14ac:dyDescent="0.25">
      <c r="B7" s="168"/>
      <c r="C7" s="564" t="str">
        <f>Langues1!C512</f>
        <v>I costi sono distinti in costi di gestione (amministrazione), costi delle misure di incentivazione complementari e costi delle misure di incentivazione principali destinate ai clienti target. I campi vuoti vengono riempiti con 0 CHF.</v>
      </c>
      <c r="D7" s="565"/>
      <c r="E7" s="565"/>
      <c r="F7" s="565"/>
      <c r="G7" s="565"/>
      <c r="H7" s="565"/>
      <c r="I7" s="565"/>
      <c r="J7" s="566"/>
      <c r="K7" s="168"/>
      <c r="L7" s="564" t="str">
        <f>Langues1!C379</f>
        <v>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v>
      </c>
      <c r="M7" s="565"/>
      <c r="N7" s="565"/>
      <c r="O7" s="565"/>
      <c r="P7" s="565"/>
      <c r="Q7" s="565"/>
      <c r="R7" s="565"/>
      <c r="S7" s="565"/>
      <c r="T7" s="566"/>
      <c r="U7" s="214"/>
      <c r="V7" s="168"/>
      <c r="W7" s="265"/>
      <c r="Y7" s="277" t="s">
        <v>1592</v>
      </c>
      <c r="Z7" s="140" t="s">
        <v>1593</v>
      </c>
      <c r="AA7" s="140" t="s">
        <v>1594</v>
      </c>
      <c r="AB7" s="277"/>
    </row>
    <row r="8" spans="1:28" s="168" customFormat="1" x14ac:dyDescent="0.25">
      <c r="B8" s="171"/>
      <c r="C8" s="171"/>
      <c r="D8" s="171"/>
      <c r="E8" s="287"/>
      <c r="F8" s="171"/>
      <c r="G8" s="171"/>
      <c r="H8" s="171"/>
      <c r="I8" s="171"/>
      <c r="J8" s="171"/>
      <c r="K8" s="171"/>
      <c r="L8" s="171"/>
      <c r="M8" s="171"/>
      <c r="N8" s="568"/>
      <c r="O8" s="568"/>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25">
      <c r="B9" s="173"/>
      <c r="C9" s="550" t="str">
        <f>Langues1!C360</f>
        <v>Unità di costo</v>
      </c>
      <c r="D9" s="550"/>
      <c r="E9" s="211" t="str">
        <f>Langues1!C513</f>
        <v>Numero di unità</v>
      </c>
      <c r="F9" s="211" t="str">
        <f>Langues1!C514</f>
        <v>Costo / unità</v>
      </c>
      <c r="G9" s="211"/>
      <c r="H9" s="211"/>
      <c r="I9" s="211" t="str">
        <f>Langues1!C516</f>
        <v>Costi di gestione (amministrazione)</v>
      </c>
      <c r="J9" s="211" t="str">
        <f>Langues1!C517</f>
        <v>Costo delle misure complementari</v>
      </c>
      <c r="K9" s="280"/>
      <c r="L9" s="294" t="str">
        <f>Langues1!C401</f>
        <v>Totale finanziamento</v>
      </c>
      <c r="M9" s="295" t="str">
        <f>Langues1!C363</f>
        <v>Prestazioni proprie (lavoro) dell'ente responsabile</v>
      </c>
      <c r="N9" s="295" t="str">
        <f>Langues1!C369</f>
        <v>Prestazioni proprie (cash) dell'ente responsabile</v>
      </c>
      <c r="O9" s="295" t="str">
        <f>Langues1!C370</f>
        <v>Altri finanziatori (clienti target)</v>
      </c>
      <c r="P9" s="295" t="str">
        <f>Langues1!C371</f>
        <v>Altri fondi di sostegno (eccetto federale)</v>
      </c>
      <c r="Q9" s="560" t="str">
        <f>Langues1!C372</f>
        <v>Contributo di incentivazione Prokilowatt (IVA inclusa)</v>
      </c>
      <c r="R9" s="561"/>
      <c r="S9" s="203" t="str">
        <f>Langues1!C549</f>
        <v>Controllo</v>
      </c>
      <c r="T9" s="174"/>
      <c r="W9" s="265"/>
      <c r="X9" s="303"/>
      <c r="Y9" s="277"/>
    </row>
    <row r="10" spans="1:28" s="140" customFormat="1" ht="23.25" customHeight="1" x14ac:dyDescent="0.25">
      <c r="A10" s="559" t="str">
        <f>Langues1!C518</f>
        <v>Gestione del programma</v>
      </c>
      <c r="B10" s="175"/>
      <c r="C10" s="547" t="str">
        <f>Langues1!C518</f>
        <v>Gestione del programma</v>
      </c>
      <c r="D10" s="547"/>
      <c r="E10" s="281"/>
      <c r="F10" s="192" t="str">
        <f>Langues1!C515</f>
        <v>[CHF / unità]</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Costi per la gestione del programma (spesa dell'ente responsabile del programma)</v>
      </c>
      <c r="W10" s="265"/>
    </row>
    <row r="11" spans="1:28" s="140" customFormat="1" ht="23.25" customHeight="1" x14ac:dyDescent="0.25">
      <c r="A11" s="559"/>
      <c r="B11" s="176"/>
      <c r="C11" s="542" t="str">
        <f>Langues1!C519</f>
        <v>Spese amministrative generali</v>
      </c>
      <c r="D11" s="543"/>
      <c r="E11" s="288"/>
      <c r="F11" s="194"/>
      <c r="G11" s="193"/>
      <c r="H11" s="193"/>
      <c r="I11" s="240">
        <f>E11*F11</f>
        <v>0</v>
      </c>
      <c r="J11" s="241"/>
      <c r="K11" s="173">
        <f>COUNTBLANK(E11:F11)</f>
        <v>2</v>
      </c>
      <c r="L11" s="177">
        <f>SUM(M11:Q11)</f>
        <v>0</v>
      </c>
      <c r="M11" s="178"/>
      <c r="N11" s="178"/>
      <c r="O11" s="178"/>
      <c r="P11" s="178"/>
      <c r="Q11" s="160"/>
      <c r="R11" s="525">
        <f>IF(Q41=0,,SUM(Q11:Q12)/$Q$41)</f>
        <v>0</v>
      </c>
      <c r="S11" s="200">
        <f>I11-L11</f>
        <v>0</v>
      </c>
      <c r="T11" s="173">
        <f>IF(S11=0,0,1)</f>
        <v>0</v>
      </c>
      <c r="U11" s="204" t="str">
        <f>Langues1!C550</f>
        <v>Spese amministrative (gestione generale, concezione del programma, ecc.)</v>
      </c>
      <c r="W11" s="265"/>
    </row>
    <row r="12" spans="1:28" s="140" customFormat="1" ht="23.25" customHeight="1" x14ac:dyDescent="0.25">
      <c r="A12" s="559"/>
      <c r="B12" s="176"/>
      <c r="C12" s="542" t="str">
        <f>Langues1!C520</f>
        <v>Spese amministrative per le pratiche</v>
      </c>
      <c r="D12" s="543"/>
      <c r="E12" s="289"/>
      <c r="F12" s="194"/>
      <c r="G12" s="193"/>
      <c r="H12" s="193"/>
      <c r="I12" s="240">
        <f>E12*F12</f>
        <v>0</v>
      </c>
      <c r="J12" s="242"/>
      <c r="K12" s="173">
        <f>COUNTBLANK(E12:F12)</f>
        <v>2</v>
      </c>
      <c r="L12" s="180">
        <f>SUM(M12:Q12)</f>
        <v>0</v>
      </c>
      <c r="M12" s="181"/>
      <c r="N12" s="181"/>
      <c r="O12" s="181"/>
      <c r="P12" s="181"/>
      <c r="Q12" s="151"/>
      <c r="R12" s="526"/>
      <c r="S12" s="201">
        <f>I12-L12</f>
        <v>0</v>
      </c>
      <c r="T12" s="173">
        <f>IF(S12=0,0,1)</f>
        <v>0</v>
      </c>
      <c r="U12" s="204" t="str">
        <f>Langues1!C551</f>
        <v>Spese amministrative connesse ai clienti target (a seconda del numero di pratiche, ecc.)</v>
      </c>
      <c r="W12" s="265"/>
    </row>
    <row r="13" spans="1:28" s="140" customFormat="1" ht="18.75" customHeight="1" x14ac:dyDescent="0.25">
      <c r="B13" s="175"/>
      <c r="C13" s="547" t="str">
        <f>Langues1!C521</f>
        <v>Misure complementari</v>
      </c>
      <c r="D13" s="547"/>
      <c r="E13" s="290"/>
      <c r="F13" s="173"/>
      <c r="G13" s="192"/>
      <c r="H13" s="192"/>
      <c r="I13" s="239"/>
      <c r="J13" s="239"/>
      <c r="K13" s="195"/>
      <c r="L13" s="196"/>
      <c r="M13" s="267"/>
      <c r="N13" s="267"/>
      <c r="O13" s="267"/>
      <c r="P13" s="267"/>
      <c r="Q13" s="268"/>
      <c r="R13" s="269"/>
      <c r="S13" s="199"/>
      <c r="T13" s="173">
        <f>IF(R11&gt;Ctrl!B13/100,1,0)</f>
        <v>0</v>
      </c>
      <c r="U13" s="329" t="str">
        <f>Langues1!C552</f>
        <v>Il valore della cella R11 non deve superare il 10% del contributo di incentivazione ProKilowatt richiesto (cfr. condizioni per la presentazione di progetti e programmi 2020, capitolo 2.2.1 Pg-1f).</v>
      </c>
      <c r="W13" s="265"/>
    </row>
    <row r="14" spans="1:28" s="140" customFormat="1" ht="19.5" customHeight="1" x14ac:dyDescent="0.25">
      <c r="A14" s="544" t="str">
        <f>Langues1!C521</f>
        <v>Misure complementari</v>
      </c>
      <c r="B14" s="176"/>
      <c r="C14" s="553" t="str">
        <f>Langues1!C351</f>
        <v>Comunicazione del programma</v>
      </c>
      <c r="D14" s="553"/>
      <c r="E14" s="289"/>
      <c r="F14" s="194"/>
      <c r="G14" s="193"/>
      <c r="H14" s="193"/>
      <c r="I14" s="243"/>
      <c r="J14" s="240">
        <f>E14*F14</f>
        <v>0</v>
      </c>
      <c r="K14" s="173">
        <f>COUNTBLANK(E14:F14)</f>
        <v>2</v>
      </c>
      <c r="L14" s="180">
        <f t="shared" ref="L14:L20" si="0">SUM(M14:Q14)</f>
        <v>0</v>
      </c>
      <c r="M14" s="181"/>
      <c r="N14" s="181"/>
      <c r="O14" s="181"/>
      <c r="P14" s="181"/>
      <c r="Q14" s="151"/>
      <c r="R14" s="525">
        <f>IF(Q41=0,,SUM(Q14:Q20)/$Q$41)</f>
        <v>0</v>
      </c>
      <c r="S14" s="202">
        <f>J14-L14</f>
        <v>0</v>
      </c>
      <c r="T14" s="173">
        <f t="shared" ref="T14:T20" si="1">IF(S14=0,0,1)</f>
        <v>0</v>
      </c>
      <c r="U14" s="329" t="str">
        <f>Langues1!C356</f>
        <v>Costi per misure di marketing e comunicazione secondo il concetto di comunicazione</v>
      </c>
      <c r="W14" s="265"/>
    </row>
    <row r="15" spans="1:28" s="140" customFormat="1" ht="19.5" customHeight="1" x14ac:dyDescent="0.25">
      <c r="A15" s="545"/>
      <c r="B15" s="174"/>
      <c r="C15" s="542" t="str">
        <f>Langues1!C522</f>
        <v>Costi di formazione e di perfezionamento</v>
      </c>
      <c r="D15" s="543"/>
      <c r="E15" s="289"/>
      <c r="F15" s="194"/>
      <c r="G15" s="193"/>
      <c r="H15" s="193"/>
      <c r="I15" s="244"/>
      <c r="J15" s="240">
        <f t="shared" ref="J15:J20" si="2">F15*E15</f>
        <v>0</v>
      </c>
      <c r="K15" s="173"/>
      <c r="L15" s="180">
        <f t="shared" si="0"/>
        <v>0</v>
      </c>
      <c r="M15" s="179"/>
      <c r="N15" s="179"/>
      <c r="O15" s="179"/>
      <c r="P15" s="179"/>
      <c r="Q15" s="151"/>
      <c r="R15" s="526"/>
      <c r="S15" s="202">
        <f t="shared" ref="S15:S20" si="3">J15-L15</f>
        <v>0</v>
      </c>
      <c r="T15" s="173">
        <f t="shared" si="1"/>
        <v>0</v>
      </c>
      <c r="U15" s="329" t="str">
        <f>Langues1!C553</f>
        <v>Costi per la formazione, il perfezionamento e gli eventi informativi.</v>
      </c>
      <c r="W15" s="265"/>
      <c r="Y15" s="182"/>
    </row>
    <row r="16" spans="1:28" s="140" customFormat="1" ht="19.5" customHeight="1" x14ac:dyDescent="0.25">
      <c r="A16" s="545"/>
      <c r="B16" s="174"/>
      <c r="C16" s="542" t="str">
        <f>Langues1!C523</f>
        <v>Consulenza</v>
      </c>
      <c r="D16" s="543"/>
      <c r="E16" s="289"/>
      <c r="F16" s="194"/>
      <c r="G16" s="193"/>
      <c r="H16" s="193"/>
      <c r="I16" s="244"/>
      <c r="J16" s="240">
        <f t="shared" si="2"/>
        <v>0</v>
      </c>
      <c r="K16" s="173"/>
      <c r="L16" s="180">
        <f t="shared" si="0"/>
        <v>0</v>
      </c>
      <c r="M16" s="179"/>
      <c r="N16" s="179"/>
      <c r="O16" s="179"/>
      <c r="P16" s="179"/>
      <c r="Q16" s="151"/>
      <c r="R16" s="526"/>
      <c r="S16" s="202">
        <f t="shared" si="3"/>
        <v>0</v>
      </c>
      <c r="T16" s="173">
        <f t="shared" si="1"/>
        <v>0</v>
      </c>
      <c r="U16" s="329" t="str">
        <f>Langues1!C554</f>
        <v>Costi per servizi di consulenza</v>
      </c>
      <c r="W16" s="265"/>
      <c r="Y16" s="182"/>
    </row>
    <row r="17" spans="1:26" s="140" customFormat="1" ht="19.5" customHeight="1" x14ac:dyDescent="0.25">
      <c r="A17" s="545"/>
      <c r="B17" s="174"/>
      <c r="C17" s="542" t="str">
        <f>Langues1!C524</f>
        <v>Messa a disposizione di strumenti di immissione, ecc.</v>
      </c>
      <c r="D17" s="543"/>
      <c r="E17" s="289"/>
      <c r="F17" s="194"/>
      <c r="G17" s="193"/>
      <c r="H17" s="193"/>
      <c r="I17" s="244"/>
      <c r="J17" s="240">
        <f t="shared" si="2"/>
        <v>0</v>
      </c>
      <c r="K17" s="173"/>
      <c r="L17" s="180">
        <f t="shared" si="0"/>
        <v>0</v>
      </c>
      <c r="M17" s="179"/>
      <c r="N17" s="179"/>
      <c r="O17" s="179"/>
      <c r="P17" s="179"/>
      <c r="Q17" s="151"/>
      <c r="R17" s="526"/>
      <c r="S17" s="202">
        <f t="shared" si="3"/>
        <v>0</v>
      </c>
      <c r="T17" s="173">
        <f>IF(S17=0,0,1)</f>
        <v>0</v>
      </c>
      <c r="U17" s="329" t="str">
        <f>Langues1!C555</f>
        <v>Strumenti necessari per l'attuazione del programma (piattaforme d’immissione dati, moduli di registrazione, ecc.)</v>
      </c>
      <c r="W17" s="265"/>
      <c r="Y17" s="182"/>
    </row>
    <row r="18" spans="1:26" s="140" customFormat="1" ht="19.5" customHeight="1" x14ac:dyDescent="0.25">
      <c r="A18" s="545"/>
      <c r="B18" s="174"/>
      <c r="C18" s="542" t="str">
        <f>Langues1!C525</f>
        <v>Monitoraggio</v>
      </c>
      <c r="D18" s="543"/>
      <c r="E18" s="289"/>
      <c r="F18" s="194"/>
      <c r="G18" s="193"/>
      <c r="H18" s="193"/>
      <c r="I18" s="244"/>
      <c r="J18" s="240">
        <f t="shared" si="2"/>
        <v>0</v>
      </c>
      <c r="K18" s="173"/>
      <c r="L18" s="180">
        <f t="shared" si="0"/>
        <v>0</v>
      </c>
      <c r="M18" s="179"/>
      <c r="N18" s="179"/>
      <c r="O18" s="179"/>
      <c r="P18" s="179"/>
      <c r="Q18" s="151"/>
      <c r="R18" s="526"/>
      <c r="S18" s="202">
        <f t="shared" si="3"/>
        <v>0</v>
      </c>
      <c r="T18" s="173">
        <f>IF(S18=0,0,1)</f>
        <v>0</v>
      </c>
      <c r="U18" s="329" t="str">
        <f>Langues1!C556</f>
        <v>Costi per misurazioni di controllo (monitoraggio)</v>
      </c>
      <c r="W18" s="265"/>
      <c r="Y18" s="182"/>
    </row>
    <row r="19" spans="1:26" s="140" customFormat="1" ht="19.5" customHeight="1" x14ac:dyDescent="0.25">
      <c r="A19" s="545"/>
      <c r="B19" s="174"/>
      <c r="C19" s="554" t="str">
        <f>Langues1!C526</f>
        <v>Misura complementare 6</v>
      </c>
      <c r="D19" s="555"/>
      <c r="E19" s="289"/>
      <c r="F19" s="194"/>
      <c r="G19" s="193"/>
      <c r="H19" s="193"/>
      <c r="I19" s="244"/>
      <c r="J19" s="240">
        <f t="shared" si="2"/>
        <v>0</v>
      </c>
      <c r="K19" s="173"/>
      <c r="L19" s="180">
        <f t="shared" si="0"/>
        <v>0</v>
      </c>
      <c r="M19" s="179"/>
      <c r="N19" s="179"/>
      <c r="O19" s="179"/>
      <c r="P19" s="179"/>
      <c r="Q19" s="151"/>
      <c r="R19" s="526"/>
      <c r="S19" s="202">
        <f t="shared" si="3"/>
        <v>0</v>
      </c>
      <c r="T19" s="173">
        <f>IF(S19=0,0,1)</f>
        <v>0</v>
      </c>
      <c r="U19" s="329" t="str">
        <f>Langues1!C557</f>
        <v>Costi per misure complementari aggiuntive</v>
      </c>
      <c r="W19" s="265"/>
      <c r="Y19" s="182"/>
    </row>
    <row r="20" spans="1:26" s="140" customFormat="1" ht="19.5" customHeight="1" thickBot="1" x14ac:dyDescent="0.3">
      <c r="A20" s="546"/>
      <c r="B20" s="174"/>
      <c r="C20" s="554" t="str">
        <f>Langues1!C527</f>
        <v>Misura complementare 7</v>
      </c>
      <c r="D20" s="555"/>
      <c r="E20" s="289"/>
      <c r="F20" s="194"/>
      <c r="G20" s="193"/>
      <c r="H20" s="193"/>
      <c r="I20" s="245"/>
      <c r="J20" s="240">
        <f t="shared" si="2"/>
        <v>0</v>
      </c>
      <c r="K20" s="173"/>
      <c r="L20" s="180">
        <f t="shared" si="0"/>
        <v>0</v>
      </c>
      <c r="M20" s="181"/>
      <c r="N20" s="181"/>
      <c r="O20" s="181"/>
      <c r="P20" s="181"/>
      <c r="Q20" s="151"/>
      <c r="R20" s="526"/>
      <c r="S20" s="202">
        <f t="shared" si="3"/>
        <v>0</v>
      </c>
      <c r="T20" s="173">
        <f t="shared" si="1"/>
        <v>0</v>
      </c>
      <c r="U20" s="329" t="str">
        <f>Langues1!C557</f>
        <v>Costi per misure complementari aggiuntive</v>
      </c>
      <c r="W20" s="265"/>
      <c r="Y20" s="183"/>
      <c r="Z20" s="183"/>
    </row>
    <row r="21" spans="1:26" s="140" customFormat="1" ht="20.100000000000001" customHeight="1" thickBot="1" x14ac:dyDescent="0.3">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29" t="str">
        <f>IF(Ctrl!F4=1,Langues1!C600,Langues1!C558)</f>
        <v>Il valore delle celle R14 e R21 non deve superare il 30% del contributo di incentivazione ProKilowatt-richiesto (cfr. condizioni per la presentazione di progetti e programmi 2020, capitolo 2.2.1 Pg-1f).</v>
      </c>
      <c r="W21" s="265"/>
      <c r="Z21" s="140" t="str">
        <f>IF(Q21&lt;150000,"A",IF(Q21&gt;1000000,"A","B"))</f>
        <v>A</v>
      </c>
    </row>
    <row r="22" spans="1:26" s="140" customFormat="1" ht="20.100000000000001" customHeight="1" x14ac:dyDescent="0.25">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00000000000001" customHeight="1" x14ac:dyDescent="0.25">
      <c r="E23" s="291"/>
      <c r="I23" s="527" t="e">
        <f>SUM(I21:J21)/(I41-O38)</f>
        <v>#DIV/0!</v>
      </c>
      <c r="J23" s="527"/>
      <c r="K23" s="168"/>
      <c r="R23" s="168"/>
      <c r="S23" s="168"/>
      <c r="T23" s="170"/>
      <c r="U23" s="204"/>
      <c r="W23" s="265"/>
    </row>
    <row r="24" spans="1:26" s="140" customFormat="1" x14ac:dyDescent="0.25">
      <c r="E24" s="291"/>
      <c r="U24" s="204"/>
      <c r="W24" s="265"/>
    </row>
    <row r="25" spans="1:26" s="140" customFormat="1" ht="66" x14ac:dyDescent="0.25">
      <c r="B25" s="173"/>
      <c r="C25" s="547" t="str">
        <f>Langues1!C360</f>
        <v>Unità di costo</v>
      </c>
      <c r="D25" s="547"/>
      <c r="E25" s="211" t="str">
        <f>E9</f>
        <v>Numero di unità</v>
      </c>
      <c r="F25" s="211" t="str">
        <f>Langues1!C584</f>
        <v>Contributo Prokilowatt (cfr. commento U27-31)</v>
      </c>
      <c r="G25" s="294" t="str">
        <f>Langues1!C528</f>
        <v>Contributo ProKilowatt / unità</v>
      </c>
      <c r="H25" s="211" t="str">
        <f>Langues1!C529</f>
        <v>Costo di investimento totale / unità</v>
      </c>
      <c r="I25" s="296" t="str">
        <f>Langues1!C528</f>
        <v>Contributo ProKilowatt / unità</v>
      </c>
      <c r="J25" s="297" t="str">
        <f>Langues1!C366</f>
        <v>Costi dipendenti dall'attuazione</v>
      </c>
      <c r="K25" s="280"/>
      <c r="L25" s="294" t="str">
        <f>Langues1!C401</f>
        <v>Totale finanziamento</v>
      </c>
      <c r="M25" s="295" t="str">
        <f>Langues1!C363</f>
        <v>Prestazioni proprie (lavoro) dell'ente responsabile</v>
      </c>
      <c r="N25" s="295" t="str">
        <f>Langues1!C369</f>
        <v>Prestazioni proprie (cash) dell'ente responsabile</v>
      </c>
      <c r="O25" s="295" t="str">
        <f>Langues1!C370</f>
        <v>Altri finanziatori (clienti target)</v>
      </c>
      <c r="P25" s="295"/>
      <c r="Q25" s="295" t="str">
        <f>Langues1!C372</f>
        <v>Contributo di incentivazione Prokilowatt (IVA inclusa)</v>
      </c>
      <c r="R25" s="187"/>
      <c r="S25" s="203" t="str">
        <f>S9</f>
        <v>Controllo</v>
      </c>
      <c r="T25" s="174"/>
      <c r="U25" s="528"/>
      <c r="W25" s="265"/>
    </row>
    <row r="26" spans="1:26" s="140" customFormat="1" ht="18.75" customHeight="1" x14ac:dyDescent="0.25">
      <c r="B26" s="173"/>
      <c r="C26" s="304" t="str">
        <f>Langues1!C531</f>
        <v xml:space="preserve">Misure di incentivazione </v>
      </c>
      <c r="D26" s="327" t="str">
        <f>Langues1!C641</f>
        <v xml:space="preserve">Tecnologie </v>
      </c>
      <c r="E26" s="280"/>
      <c r="F26" s="280" t="str">
        <f>Langues1!C515</f>
        <v>[CHF / unità]</v>
      </c>
      <c r="G26" s="280" t="str">
        <f>Langues1!C515</f>
        <v>[CHF / unità]</v>
      </c>
      <c r="H26" s="280" t="str">
        <f>Langues1!C515</f>
        <v>[CHF / unità]</v>
      </c>
      <c r="I26" s="280" t="s">
        <v>1380</v>
      </c>
      <c r="J26" s="298" t="s">
        <v>1375</v>
      </c>
      <c r="K26" s="173"/>
      <c r="L26" s="280" t="s">
        <v>1375</v>
      </c>
      <c r="M26" s="280" t="s">
        <v>1375</v>
      </c>
      <c r="N26" s="280" t="s">
        <v>1375</v>
      </c>
      <c r="O26" s="280" t="s">
        <v>1375</v>
      </c>
      <c r="P26" s="280"/>
      <c r="Q26" s="280" t="s">
        <v>1375</v>
      </c>
      <c r="R26" s="168"/>
      <c r="S26" s="174"/>
      <c r="T26" s="157"/>
      <c r="U26" s="528"/>
      <c r="W26" s="265"/>
      <c r="Y26" s="188"/>
    </row>
    <row r="27" spans="1:26" s="140" customFormat="1" ht="25.5" customHeight="1" x14ac:dyDescent="0.25">
      <c r="A27" s="544" t="str">
        <f>Langues1!C542</f>
        <v>Misure di incentivazione per i clienti target</v>
      </c>
      <c r="B27" s="176"/>
      <c r="C27" s="332" t="str">
        <f>Langues1!C532</f>
        <v>Scrivere la titolo della misura di incentivazione 1</v>
      </c>
      <c r="D27" s="334"/>
      <c r="E27" s="369"/>
      <c r="F27" s="306">
        <f>IF(E27&gt;0,0.3*H27,0)</f>
        <v>0</v>
      </c>
      <c r="G27" s="194"/>
      <c r="H27" s="194"/>
      <c r="I27" s="305" t="str">
        <f t="shared" ref="I27:I35" si="6">IF(H27&gt;0,G27/H27,$R$3)</f>
        <v>-</v>
      </c>
      <c r="J27" s="306">
        <f>E27*H27</f>
        <v>0</v>
      </c>
      <c r="K27" s="173">
        <f>IF(OR(G27&gt;F27,G27&gt;100000),1,0)</f>
        <v>0</v>
      </c>
      <c r="L27" s="246">
        <f t="shared" ref="L27:L35" si="7">SUM(M27:Q27)</f>
        <v>0</v>
      </c>
      <c r="M27" s="181"/>
      <c r="N27" s="158"/>
      <c r="O27" s="336">
        <f>J27-Q27-N27-M27</f>
        <v>0</v>
      </c>
      <c r="P27" s="375"/>
      <c r="Q27" s="180">
        <f t="shared" ref="Q27:Q35" si="8">E27*G27</f>
        <v>0</v>
      </c>
      <c r="R27" s="168"/>
      <c r="S27" s="189">
        <f t="shared" ref="S27:S32" si="9">IF(H27&gt;300000,1,J27-L27)</f>
        <v>0</v>
      </c>
      <c r="T27" s="173">
        <f t="shared" ref="T27:T35" si="10">IF(S27=0,0,1)</f>
        <v>0</v>
      </c>
      <c r="U27" s="528" t="str">
        <f>Langues1!C689</f>
        <v xml:space="preserve">Costi per l'attuazione delle misure 1-8 (Obbligo di descriverli nel concetto del programma al capitolo 2 Misure). Le misure devono essere indicate per impianto. </v>
      </c>
      <c r="V27" s="540" t="str">
        <f>IF(AND(X8=7,SUM(K27:K34)&gt;0),Langues1!C602,"")</f>
        <v/>
      </c>
      <c r="W27" s="265"/>
      <c r="X27" s="229">
        <f>'4'!X19</f>
        <v>0</v>
      </c>
    </row>
    <row r="28" spans="1:26" s="140" customFormat="1" ht="26.4" x14ac:dyDescent="0.25">
      <c r="A28" s="545"/>
      <c r="B28" s="175"/>
      <c r="C28" s="332" t="str">
        <f>Langues1!C533</f>
        <v>Scrivere la titolo della misura di incentivazione 2</v>
      </c>
      <c r="D28" s="334"/>
      <c r="E28" s="369"/>
      <c r="F28" s="306">
        <f t="shared" ref="F28:F34" si="11">IF(E28&gt;0,0.3*H28,0)</f>
        <v>0</v>
      </c>
      <c r="G28" s="194"/>
      <c r="H28" s="194"/>
      <c r="I28" s="305" t="str">
        <f t="shared" si="6"/>
        <v>-</v>
      </c>
      <c r="J28" s="306">
        <f t="shared" ref="J28:J35" si="12">E28*H28</f>
        <v>0</v>
      </c>
      <c r="K28" s="173">
        <f t="shared" ref="K28:K34" si="13">IF(OR(G28&gt;F28,G28&gt;100000),1,0)</f>
        <v>0</v>
      </c>
      <c r="L28" s="246">
        <f t="shared" si="7"/>
        <v>0</v>
      </c>
      <c r="M28" s="181"/>
      <c r="N28" s="158"/>
      <c r="O28" s="336">
        <f t="shared" ref="O28:O35" si="14">J28-Q28-N28-M28</f>
        <v>0</v>
      </c>
      <c r="P28" s="375"/>
      <c r="Q28" s="234">
        <f t="shared" si="8"/>
        <v>0</v>
      </c>
      <c r="R28" s="266"/>
      <c r="S28" s="189">
        <f t="shared" si="9"/>
        <v>0</v>
      </c>
      <c r="T28" s="173">
        <f t="shared" si="10"/>
        <v>0</v>
      </c>
      <c r="U28" s="528"/>
      <c r="V28" s="540"/>
      <c r="W28" s="265"/>
      <c r="X28" s="229">
        <f>'4'!X20</f>
        <v>0</v>
      </c>
      <c r="Z28" s="183"/>
    </row>
    <row r="29" spans="1:26" s="140" customFormat="1" ht="26.4" x14ac:dyDescent="0.25">
      <c r="A29" s="545"/>
      <c r="B29" s="175"/>
      <c r="C29" s="332" t="str">
        <f>Langues1!C534</f>
        <v>Scrivere la titolo della misura di incentivazione 3</v>
      </c>
      <c r="D29" s="334"/>
      <c r="E29" s="369"/>
      <c r="F29" s="306">
        <f t="shared" si="11"/>
        <v>0</v>
      </c>
      <c r="G29" s="194"/>
      <c r="H29" s="194"/>
      <c r="I29" s="305" t="str">
        <f t="shared" si="6"/>
        <v>-</v>
      </c>
      <c r="J29" s="306">
        <f t="shared" si="12"/>
        <v>0</v>
      </c>
      <c r="K29" s="173">
        <f t="shared" si="13"/>
        <v>0</v>
      </c>
      <c r="L29" s="246">
        <f t="shared" si="7"/>
        <v>0</v>
      </c>
      <c r="M29" s="181"/>
      <c r="N29" s="158"/>
      <c r="O29" s="336">
        <f t="shared" si="14"/>
        <v>0</v>
      </c>
      <c r="P29" s="375"/>
      <c r="Q29" s="234">
        <f t="shared" si="8"/>
        <v>0</v>
      </c>
      <c r="R29" s="266"/>
      <c r="S29" s="189">
        <f t="shared" si="9"/>
        <v>0</v>
      </c>
      <c r="T29" s="173">
        <f t="shared" si="10"/>
        <v>0</v>
      </c>
      <c r="U29" s="528"/>
      <c r="V29" s="540"/>
      <c r="W29" s="265"/>
      <c r="X29" s="229">
        <f>'4'!X21</f>
        <v>0</v>
      </c>
      <c r="Z29" s="183"/>
    </row>
    <row r="30" spans="1:26" s="140" customFormat="1" ht="26.4" x14ac:dyDescent="0.25">
      <c r="A30" s="545"/>
      <c r="B30" s="175"/>
      <c r="C30" s="332" t="str">
        <f>Langues1!C535</f>
        <v>Scrivere la titolo della misura di incentivazione 4</v>
      </c>
      <c r="D30" s="334"/>
      <c r="E30" s="369"/>
      <c r="F30" s="306">
        <f t="shared" si="11"/>
        <v>0</v>
      </c>
      <c r="G30" s="194"/>
      <c r="H30" s="194"/>
      <c r="I30" s="305" t="str">
        <f t="shared" si="6"/>
        <v>-</v>
      </c>
      <c r="J30" s="306">
        <f t="shared" si="12"/>
        <v>0</v>
      </c>
      <c r="K30" s="173">
        <f t="shared" si="13"/>
        <v>0</v>
      </c>
      <c r="L30" s="246">
        <f t="shared" si="7"/>
        <v>0</v>
      </c>
      <c r="M30" s="181"/>
      <c r="N30" s="158"/>
      <c r="O30" s="336">
        <f t="shared" si="14"/>
        <v>0</v>
      </c>
      <c r="P30" s="375"/>
      <c r="Q30" s="234">
        <f t="shared" si="8"/>
        <v>0</v>
      </c>
      <c r="R30" s="266"/>
      <c r="S30" s="189">
        <f t="shared" si="9"/>
        <v>0</v>
      </c>
      <c r="T30" s="173">
        <f t="shared" si="10"/>
        <v>0</v>
      </c>
      <c r="U30" s="528"/>
      <c r="V30" s="540"/>
      <c r="W30" s="265"/>
      <c r="X30" s="229">
        <f>'4'!X22</f>
        <v>0</v>
      </c>
      <c r="Z30" s="183"/>
    </row>
    <row r="31" spans="1:26" s="140" customFormat="1" ht="26.4" x14ac:dyDescent="0.25">
      <c r="A31" s="545"/>
      <c r="B31" s="175"/>
      <c r="C31" s="332" t="str">
        <f>Langues1!C536</f>
        <v>Scrivere la titolo della misura di incentivazione 5</v>
      </c>
      <c r="D31" s="334"/>
      <c r="E31" s="369"/>
      <c r="F31" s="306">
        <f t="shared" si="11"/>
        <v>0</v>
      </c>
      <c r="G31" s="194"/>
      <c r="H31" s="194"/>
      <c r="I31" s="305" t="str">
        <f t="shared" si="6"/>
        <v>-</v>
      </c>
      <c r="J31" s="306">
        <f t="shared" si="12"/>
        <v>0</v>
      </c>
      <c r="K31" s="173">
        <f t="shared" si="13"/>
        <v>0</v>
      </c>
      <c r="L31" s="246">
        <f t="shared" si="7"/>
        <v>0</v>
      </c>
      <c r="M31" s="181"/>
      <c r="N31" s="158"/>
      <c r="O31" s="336">
        <f t="shared" si="14"/>
        <v>0</v>
      </c>
      <c r="P31" s="375"/>
      <c r="Q31" s="234">
        <f t="shared" si="8"/>
        <v>0</v>
      </c>
      <c r="R31" s="266"/>
      <c r="S31" s="189">
        <f t="shared" si="9"/>
        <v>0</v>
      </c>
      <c r="T31" s="173">
        <f t="shared" si="10"/>
        <v>0</v>
      </c>
      <c r="U31" s="529" t="str">
        <f>Langues1!C690</f>
        <v xml:space="preserve">
Il contributo di incentivazione non deve superare il 30% dell'investimento complessivo (cfr. condizioni per la presentazione di programmi 2020, capitolo 2.2.1 Pg-1f).
Nel quadro di un programma, possono essere autorizzati al massimo 90 000 franchi di contributi finanziari per cliente finale.
I costi di investimento per misura presentati non possono superare CHF 300 000.</v>
      </c>
      <c r="V31" s="540"/>
      <c r="W31" s="265"/>
      <c r="X31" s="229">
        <f>'4'!X23</f>
        <v>0</v>
      </c>
      <c r="Z31" s="183"/>
    </row>
    <row r="32" spans="1:26" s="140" customFormat="1" ht="26.4" x14ac:dyDescent="0.25">
      <c r="A32" s="545"/>
      <c r="B32" s="175"/>
      <c r="C32" s="332" t="str">
        <f>Langues1!C537</f>
        <v>Scrivere la titolo della misura di incentivazione 6</v>
      </c>
      <c r="D32" s="334"/>
      <c r="E32" s="369"/>
      <c r="F32" s="306">
        <f t="shared" si="11"/>
        <v>0</v>
      </c>
      <c r="G32" s="194"/>
      <c r="H32" s="194"/>
      <c r="I32" s="305" t="str">
        <f t="shared" si="6"/>
        <v>-</v>
      </c>
      <c r="J32" s="306">
        <f t="shared" si="12"/>
        <v>0</v>
      </c>
      <c r="K32" s="173">
        <f t="shared" si="13"/>
        <v>0</v>
      </c>
      <c r="L32" s="246">
        <f t="shared" si="7"/>
        <v>0</v>
      </c>
      <c r="M32" s="181"/>
      <c r="N32" s="158"/>
      <c r="O32" s="336">
        <f t="shared" si="14"/>
        <v>0</v>
      </c>
      <c r="P32" s="375"/>
      <c r="Q32" s="234">
        <f t="shared" si="8"/>
        <v>0</v>
      </c>
      <c r="R32" s="266"/>
      <c r="S32" s="189">
        <f t="shared" si="9"/>
        <v>0</v>
      </c>
      <c r="T32" s="173">
        <f t="shared" si="10"/>
        <v>0</v>
      </c>
      <c r="U32" s="529"/>
      <c r="V32" s="540"/>
      <c r="W32" s="265"/>
      <c r="X32" s="229">
        <f>'4'!X24</f>
        <v>0</v>
      </c>
      <c r="Z32" s="183"/>
    </row>
    <row r="33" spans="1:26" s="140" customFormat="1" ht="26.4" x14ac:dyDescent="0.25">
      <c r="A33" s="545"/>
      <c r="B33" s="174"/>
      <c r="C33" s="332" t="str">
        <f>Langues1!C538</f>
        <v>Scrivere la titolo della misura di incentivazione 7</v>
      </c>
      <c r="D33" s="334"/>
      <c r="E33" s="369"/>
      <c r="F33" s="306">
        <f t="shared" si="11"/>
        <v>0</v>
      </c>
      <c r="G33" s="194"/>
      <c r="H33" s="194"/>
      <c r="I33" s="305" t="str">
        <f t="shared" si="6"/>
        <v>-</v>
      </c>
      <c r="J33" s="306">
        <f t="shared" si="12"/>
        <v>0</v>
      </c>
      <c r="K33" s="173">
        <f t="shared" si="13"/>
        <v>0</v>
      </c>
      <c r="L33" s="246">
        <f t="shared" si="7"/>
        <v>0</v>
      </c>
      <c r="M33" s="181"/>
      <c r="N33" s="158"/>
      <c r="O33" s="336">
        <f t="shared" si="14"/>
        <v>0</v>
      </c>
      <c r="P33" s="375"/>
      <c r="Q33" s="234">
        <f t="shared" si="8"/>
        <v>0</v>
      </c>
      <c r="R33" s="266"/>
      <c r="S33" s="189">
        <f>IF(H33&gt;300000,1,J33-L33)</f>
        <v>0</v>
      </c>
      <c r="T33" s="173">
        <f t="shared" si="10"/>
        <v>0</v>
      </c>
      <c r="U33" s="529"/>
      <c r="V33" s="540"/>
      <c r="W33" s="265"/>
      <c r="X33" s="229">
        <f>'4'!X25</f>
        <v>0</v>
      </c>
      <c r="Z33" s="183"/>
    </row>
    <row r="34" spans="1:26" s="140" customFormat="1" ht="26.4" x14ac:dyDescent="0.25">
      <c r="A34" s="545"/>
      <c r="B34" s="174"/>
      <c r="C34" s="332" t="str">
        <f>Langues1!C539</f>
        <v>Scrivere la titolo della misura di incentivazione 8</v>
      </c>
      <c r="D34" s="334"/>
      <c r="E34" s="369"/>
      <c r="F34" s="306">
        <f t="shared" si="11"/>
        <v>0</v>
      </c>
      <c r="G34" s="194"/>
      <c r="H34" s="194"/>
      <c r="I34" s="305" t="str">
        <f t="shared" si="6"/>
        <v>-</v>
      </c>
      <c r="J34" s="306">
        <f t="shared" si="12"/>
        <v>0</v>
      </c>
      <c r="K34" s="173">
        <f t="shared" si="13"/>
        <v>0</v>
      </c>
      <c r="L34" s="246">
        <f t="shared" si="7"/>
        <v>0</v>
      </c>
      <c r="M34" s="181"/>
      <c r="N34" s="158"/>
      <c r="O34" s="336">
        <f t="shared" si="14"/>
        <v>0</v>
      </c>
      <c r="P34" s="375"/>
      <c r="Q34" s="234">
        <f t="shared" si="8"/>
        <v>0</v>
      </c>
      <c r="R34" s="266"/>
      <c r="S34" s="189">
        <f>IF(H34&gt;300000,1,J34-L34)</f>
        <v>0</v>
      </c>
      <c r="T34" s="173">
        <f t="shared" si="10"/>
        <v>0</v>
      </c>
      <c r="U34" s="529"/>
      <c r="V34" s="540"/>
      <c r="W34" s="265"/>
      <c r="X34" s="229">
        <f>'4'!X26</f>
        <v>0</v>
      </c>
      <c r="Z34" s="183"/>
    </row>
    <row r="35" spans="1:26" s="140" customFormat="1" ht="20.100000000000001" customHeight="1" thickBot="1" x14ac:dyDescent="0.3">
      <c r="A35" s="546"/>
      <c r="B35" s="174"/>
      <c r="C35" s="542" t="str">
        <f>Langues1!C541</f>
        <v>Analisi</v>
      </c>
      <c r="D35" s="543"/>
      <c r="E35" s="369"/>
      <c r="F35" s="306">
        <f>H35*0.5</f>
        <v>0</v>
      </c>
      <c r="G35" s="194"/>
      <c r="H35" s="194"/>
      <c r="I35" s="305" t="str">
        <f t="shared" si="6"/>
        <v>-</v>
      </c>
      <c r="J35" s="306">
        <f t="shared" si="12"/>
        <v>0</v>
      </c>
      <c r="K35" s="173">
        <f t="shared" ref="K35" si="15">IF(G35&gt;F35,1,0)</f>
        <v>0</v>
      </c>
      <c r="L35" s="246">
        <f t="shared" si="7"/>
        <v>0</v>
      </c>
      <c r="M35" s="181"/>
      <c r="N35" s="158"/>
      <c r="O35" s="336">
        <f t="shared" si="14"/>
        <v>0</v>
      </c>
      <c r="P35" s="174"/>
      <c r="Q35" s="234">
        <f t="shared" si="8"/>
        <v>0</v>
      </c>
      <c r="R35" s="266">
        <f>IF(Q36=0,,Q35/Q36)</f>
        <v>0</v>
      </c>
      <c r="S35" s="189">
        <f>IF(R35&gt;Ctrl!B16/100,1,J35-L35)</f>
        <v>0</v>
      </c>
      <c r="T35" s="173">
        <f t="shared" si="10"/>
        <v>0</v>
      </c>
      <c r="U35" s="533" t="str">
        <f>Langues1!C559</f>
        <v>Costi per l’analisi (se noti da riportare obbligatoriamente al cap. 3 Misure del concetto del programma)
'Il valore della cella Q35 non deve superare il 10% della cella Q36 (cfr. condizioni per la presentazione di progetti e programmi 2020, capitolo 2.2.1 Pg-1f).
ProKilowatt finanzia al massimo il 50 per cento dei costi di un'analisi.</v>
      </c>
      <c r="W35" s="265"/>
      <c r="Y35" s="183"/>
      <c r="Z35" s="183"/>
    </row>
    <row r="36" spans="1:26" s="140" customFormat="1" ht="20.100000000000001" customHeight="1" thickBot="1" x14ac:dyDescent="0.3">
      <c r="E36" s="291"/>
      <c r="F36" s="212" t="str">
        <f>Langues1!C543</f>
        <v>Medie ponderate</v>
      </c>
      <c r="G36" s="190" t="e">
        <f>SUMPRODUCT(E27:E35,G27:G35)/SUM(E27:E35)</f>
        <v>#DIV/0!</v>
      </c>
      <c r="H36" s="236" t="e">
        <f>SUMPRODUCT(E27:E35,H27:H35)/SUM(E27:E35)</f>
        <v>#DIV/0!</v>
      </c>
      <c r="I36" s="307" t="s">
        <v>1379</v>
      </c>
      <c r="J36" s="246">
        <f>SUM(J27:J35)</f>
        <v>0</v>
      </c>
      <c r="K36" s="191" t="e">
        <f>SUM(J36)/$I$41</f>
        <v>#DIV/0!</v>
      </c>
      <c r="L36" s="246">
        <f>SUM(L27:L35)</f>
        <v>0</v>
      </c>
      <c r="M36" s="180">
        <f>SUM(M27:M35)</f>
        <v>0</v>
      </c>
      <c r="N36" s="180">
        <f>SUM(N27:N35)</f>
        <v>0</v>
      </c>
      <c r="O36" s="335">
        <f>SUM(O27:O35)</f>
        <v>0</v>
      </c>
      <c r="P36" s="180"/>
      <c r="Q36" s="234">
        <f>SUM(Q27:Q35)</f>
        <v>0</v>
      </c>
      <c r="R36" s="235">
        <f>IF(Q$41=0,,Q36/Q$41)</f>
        <v>0</v>
      </c>
      <c r="U36" s="533"/>
      <c r="W36" s="265"/>
      <c r="Z36" s="140" t="str">
        <f>IF(Q36&lt;150000,"A",IF(Q36&gt;1000000,"A","B"))</f>
        <v>A</v>
      </c>
    </row>
    <row r="37" spans="1:26" s="140" customFormat="1" ht="20.100000000000001" customHeight="1" thickBot="1" x14ac:dyDescent="0.3">
      <c r="E37" s="291"/>
      <c r="H37" s="184" t="str">
        <f>Langues1!C543</f>
        <v>Medie ponderate</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41" t="str">
        <f>IF(Ctrl!F4=1,Langues1!C691,Langues1!C692)</f>
        <v>Il valore della cella R36 deve superare il 70% del contributo di incentivazione ProKilowatt-richiesto (cfr. condizioni per la presentazione di progetti e programmi 2020, capitolo 2.2.1 Pg-1f).</v>
      </c>
      <c r="W37" s="265"/>
    </row>
    <row r="38" spans="1:26" s="140" customFormat="1" ht="20.100000000000001" customHeight="1" x14ac:dyDescent="0.25">
      <c r="E38" s="291"/>
      <c r="I38" s="208"/>
      <c r="J38" s="208"/>
      <c r="K38" s="168"/>
      <c r="L38" s="226">
        <f>SUM(L21,L36)</f>
        <v>0</v>
      </c>
      <c r="M38" s="226">
        <f>SUM(M21,M36)</f>
        <v>0</v>
      </c>
      <c r="N38" s="226">
        <f>SUM(N21,N36)</f>
        <v>0</v>
      </c>
      <c r="O38" s="226">
        <f>SUM(O21,O36)</f>
        <v>0</v>
      </c>
      <c r="P38" s="226">
        <f>P21</f>
        <v>0</v>
      </c>
      <c r="Q38" s="226">
        <f>SUM(Q21,Q36)</f>
        <v>0</v>
      </c>
      <c r="R38" s="168"/>
      <c r="S38" s="170"/>
      <c r="T38" s="170"/>
      <c r="U38" s="541"/>
      <c r="W38" s="265"/>
    </row>
    <row r="39" spans="1:26" s="140" customFormat="1" ht="20.100000000000001" customHeight="1" x14ac:dyDescent="0.25">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3.8" thickBot="1" x14ac:dyDescent="0.3">
      <c r="E40" s="292"/>
      <c r="F40" s="170"/>
      <c r="G40" s="170"/>
      <c r="H40" s="170"/>
      <c r="I40" s="170"/>
      <c r="J40" s="170"/>
      <c r="K40" s="168"/>
      <c r="L40" s="168"/>
      <c r="M40" s="168"/>
      <c r="N40" s="168"/>
      <c r="O40" s="168"/>
      <c r="P40" s="168"/>
      <c r="Q40" s="168"/>
      <c r="R40" s="168"/>
      <c r="T40" s="168"/>
      <c r="W40" s="265"/>
    </row>
    <row r="41" spans="1:26" s="140" customFormat="1" ht="45" customHeight="1" thickBot="1" x14ac:dyDescent="0.3">
      <c r="D41" s="534" t="str">
        <f>Langues1!C544</f>
        <v>Costo totale = totale degli investimenti indotti dal programma</v>
      </c>
      <c r="E41" s="535"/>
      <c r="F41" s="535"/>
      <c r="G41" s="536"/>
      <c r="H41" s="280" t="s">
        <v>597</v>
      </c>
      <c r="I41" s="278">
        <f>SUM(I21,J21,J36)</f>
        <v>0</v>
      </c>
      <c r="J41" s="279" t="e">
        <f>SUM(I41/I41)</f>
        <v>#DIV/0!</v>
      </c>
      <c r="K41" s="168"/>
      <c r="L41" s="530" t="str">
        <f>Langues1!C546</f>
        <v>Contributo di incentivazione ProKilowatt richiesto</v>
      </c>
      <c r="M41" s="531"/>
      <c r="N41" s="531"/>
      <c r="O41" s="532"/>
      <c r="P41" s="280" t="s">
        <v>597</v>
      </c>
      <c r="Q41" s="234">
        <f>SUM(Q21,Q36)</f>
        <v>0</v>
      </c>
      <c r="R41" s="235" t="e">
        <f>Q41/(I41-O38)</f>
        <v>#DIV/0!</v>
      </c>
      <c r="T41" s="173">
        <f>IF(OR(Q41&lt;Ctrl!B9,Q41&gt;Ctrl!B10),1,0)</f>
        <v>1</v>
      </c>
      <c r="U41" s="204" t="str">
        <f>IF(X8=7,Langues1!C601,IF(X8=9,Langues1!C604,Langues1!C413))</f>
        <v>Contributo richiesto dalle gare pubbliche. Importo minimo CHF 150'000.-.  Importo massimo 3 mln. CHF.</v>
      </c>
      <c r="W41" s="265"/>
    </row>
    <row r="42" spans="1:26" s="140" customFormat="1" x14ac:dyDescent="0.25">
      <c r="E42" s="291"/>
      <c r="W42" s="265"/>
    </row>
    <row r="43" spans="1:26" s="140" customFormat="1" ht="60.75" customHeight="1" x14ac:dyDescent="0.25">
      <c r="D43" s="213" t="str">
        <f>Langues1!C548</f>
        <v>Osservazione(i)</v>
      </c>
      <c r="E43" s="537"/>
      <c r="F43" s="538"/>
      <c r="G43" s="538"/>
      <c r="H43" s="538"/>
      <c r="I43" s="538"/>
      <c r="J43" s="538"/>
      <c r="K43" s="538"/>
      <c r="L43" s="538"/>
      <c r="M43" s="538"/>
      <c r="N43" s="538"/>
      <c r="O43" s="538"/>
      <c r="P43" s="538"/>
      <c r="Q43" s="538"/>
      <c r="R43" s="539"/>
      <c r="W43" s="265"/>
    </row>
    <row r="44" spans="1:26" s="140" customFormat="1" x14ac:dyDescent="0.25">
      <c r="E44" s="291"/>
      <c r="T44" s="168"/>
      <c r="W44" s="265"/>
    </row>
    <row r="45" spans="1:26" s="140" customFormat="1" x14ac:dyDescent="0.25">
      <c r="E45" s="291"/>
      <c r="T45" s="168"/>
      <c r="W45" s="265"/>
    </row>
    <row r="46" spans="1:26" s="140" customFormat="1" x14ac:dyDescent="0.25">
      <c r="E46" s="291"/>
      <c r="W46" s="265"/>
    </row>
    <row r="47" spans="1:26" s="140" customFormat="1" x14ac:dyDescent="0.25">
      <c r="E47" s="291"/>
      <c r="W47" s="265"/>
    </row>
    <row r="48" spans="1:26" s="140" customFormat="1" x14ac:dyDescent="0.25">
      <c r="E48" s="291"/>
      <c r="W48" s="265"/>
    </row>
  </sheetData>
  <sheetProtection algorithmName="SHA-512" hashValue="QzYhhdxNDMhwdrZ/giHamGtVbwV/sW/nmuJeAl8OSt3WhzeMjgSFSc4HSp6Y5+dx4t9F6ZWHUyUfimglClaK0Q==" saltValue="lddXwxIDQOdPGtUFCWaEBQ==" spinCount="100000" sheet="1" objects="1" scenarios="1" formatCells="0" formatColumns="0" formatRows="0"/>
  <mergeCells count="43">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D41:G41"/>
    <mergeCell ref="E43:R43"/>
    <mergeCell ref="V27:V34"/>
    <mergeCell ref="U37:U38"/>
    <mergeCell ref="U25:U26"/>
    <mergeCell ref="C35:D35"/>
    <mergeCell ref="R14:R20"/>
    <mergeCell ref="I23:J23"/>
    <mergeCell ref="U27:U30"/>
    <mergeCell ref="U31:U34"/>
    <mergeCell ref="L41:O41"/>
    <mergeCell ref="U35:U36"/>
  </mergeCells>
  <phoneticPr fontId="30"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ignoredErrors>
    <ignoredError sqref="S3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7E2ACBE-F1C1-4886-BE94-5B3E386A27B5}">
          <x14:formula1>
            <xm:f>Listes_techno!$B$39:$B$41</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6" activePane="bottomRight" state="frozen"/>
      <selection activeCell="D27" sqref="D27:D32"/>
      <selection pane="topRight" activeCell="D27" sqref="D27:D32"/>
      <selection pane="bottomLeft" activeCell="D27" sqref="D27:D32"/>
      <selection pane="bottomRight" activeCell="H19" sqref="H19"/>
    </sheetView>
  </sheetViews>
  <sheetFormatPr baseColWidth="10" defaultColWidth="11.44140625" defaultRowHeight="13.2" x14ac:dyDescent="0.25"/>
  <cols>
    <col min="1" max="1" width="6.6640625" style="71" customWidth="1"/>
    <col min="2" max="2" width="5.33203125" style="71" customWidth="1"/>
    <col min="3" max="3" width="17.6640625" style="71" customWidth="1"/>
    <col min="4" max="4" width="29.6640625" style="71" customWidth="1"/>
    <col min="5" max="5" width="15.88671875" style="71" customWidth="1"/>
    <col min="6" max="6" width="18.6640625" style="71" bestFit="1" customWidth="1"/>
    <col min="7" max="9" width="21.5546875" style="71" bestFit="1" customWidth="1"/>
    <col min="10" max="10" width="17.109375" style="71" bestFit="1" customWidth="1"/>
    <col min="11" max="13" width="15.6640625" style="71" customWidth="1"/>
    <col min="14" max="15" width="22.5546875" style="71" bestFit="1" customWidth="1"/>
    <col min="16" max="16" width="15.6640625" style="71" customWidth="1"/>
    <col min="17" max="17" width="4.5546875" style="71" customWidth="1"/>
    <col min="18" max="18" width="96.109375" style="71" customWidth="1"/>
    <col min="19" max="19" width="11.44140625" style="25"/>
    <col min="20" max="21" width="11.44140625" style="71"/>
    <col min="22" max="26" width="11.44140625" style="71" customWidth="1"/>
    <col min="27" max="16384" width="11.44140625" style="71"/>
  </cols>
  <sheetData>
    <row r="1" spans="1:25" ht="24.75" customHeight="1" x14ac:dyDescent="0.25">
      <c r="B1" s="548"/>
      <c r="C1" s="548"/>
      <c r="D1" s="216" t="str">
        <f>Langues1!C561</f>
        <v>Valutazione dell'efficacia / risparmi</v>
      </c>
      <c r="E1" s="155"/>
      <c r="F1" s="155"/>
      <c r="G1" s="155"/>
      <c r="H1" s="155"/>
      <c r="I1" s="155"/>
      <c r="J1" s="155"/>
      <c r="K1" s="155"/>
      <c r="L1" s="155"/>
      <c r="M1" s="155"/>
      <c r="N1" s="155"/>
      <c r="O1" s="155"/>
      <c r="P1" s="163"/>
      <c r="Q1" s="248" t="s">
        <v>1396</v>
      </c>
      <c r="R1" s="72"/>
    </row>
    <row r="2" spans="1:25" ht="21" customHeight="1" x14ac:dyDescent="0.25">
      <c r="B2" s="548"/>
      <c r="C2" s="548"/>
      <c r="D2" s="562" t="str">
        <f>Langues1!C562</f>
        <v>Stato risparmi</v>
      </c>
      <c r="E2" s="563"/>
      <c r="F2" s="563"/>
      <c r="G2" s="563"/>
      <c r="H2" s="563"/>
      <c r="I2" s="563"/>
      <c r="J2" s="563"/>
      <c r="K2" s="563"/>
      <c r="L2" s="563"/>
      <c r="M2" s="563"/>
      <c r="N2" s="563"/>
      <c r="O2" s="575"/>
      <c r="P2" s="100">
        <f>(SUM(Q7:Q26))</f>
        <v>0</v>
      </c>
      <c r="Q2" s="197"/>
      <c r="R2" s="570" t="str">
        <f>Langues1!C286</f>
        <v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v>
      </c>
    </row>
    <row r="3" spans="1:25" x14ac:dyDescent="0.25">
      <c r="B3" s="551" t="str">
        <f>'0'!A3</f>
        <v>Partner principale</v>
      </c>
      <c r="C3" s="552"/>
      <c r="D3" s="161">
        <f>'2'!C7</f>
        <v>0</v>
      </c>
      <c r="E3" s="162"/>
      <c r="F3" s="162"/>
      <c r="G3" s="162"/>
      <c r="H3" s="162"/>
      <c r="I3" s="162"/>
      <c r="J3" s="162"/>
      <c r="K3" s="162"/>
      <c r="L3" s="162"/>
      <c r="M3" s="162"/>
      <c r="N3" s="162"/>
      <c r="O3" s="162"/>
      <c r="P3" s="164"/>
      <c r="Q3" s="198"/>
      <c r="R3" s="570"/>
    </row>
    <row r="4" spans="1:25" ht="12.75" customHeight="1" x14ac:dyDescent="0.25">
      <c r="B4" s="551" t="str">
        <f>'0'!A4</f>
        <v>Acronimo del programma</v>
      </c>
      <c r="C4" s="552"/>
      <c r="D4" s="161">
        <f>'1'!C8</f>
        <v>0</v>
      </c>
      <c r="E4" s="162"/>
      <c r="F4" s="162"/>
      <c r="G4" s="162"/>
      <c r="H4" s="162"/>
      <c r="I4" s="162"/>
      <c r="J4" s="162"/>
      <c r="K4" s="162"/>
      <c r="L4" s="162"/>
      <c r="M4" s="162"/>
      <c r="N4" s="162"/>
      <c r="O4" s="162"/>
      <c r="P4" s="164"/>
      <c r="Q4" s="198"/>
      <c r="R4" s="570"/>
    </row>
    <row r="5" spans="1:25" x14ac:dyDescent="0.25">
      <c r="B5" s="165"/>
      <c r="C5" s="165"/>
      <c r="D5" s="86"/>
      <c r="E5" s="86"/>
      <c r="F5" s="140"/>
      <c r="G5" s="140"/>
      <c r="H5" s="140"/>
      <c r="I5" s="140"/>
      <c r="J5" s="140"/>
      <c r="K5" s="140"/>
      <c r="L5" s="140"/>
      <c r="M5" s="140"/>
      <c r="N5" s="140"/>
      <c r="O5" s="140"/>
      <c r="P5" s="140"/>
      <c r="Q5" s="140"/>
      <c r="R5" s="570"/>
    </row>
    <row r="6" spans="1:25" s="140" customFormat="1" x14ac:dyDescent="0.25">
      <c r="B6" s="140">
        <v>4.0999999999999996</v>
      </c>
      <c r="C6" s="217" t="str">
        <f>Langues1!C563</f>
        <v>Valutazione dell'efficacia / risparmi delle misure di incentivazione</v>
      </c>
      <c r="D6" s="217"/>
      <c r="E6" s="169"/>
      <c r="R6" s="570"/>
      <c r="S6" s="265"/>
    </row>
    <row r="7" spans="1:25" s="195" customFormat="1" ht="24.75" customHeight="1" x14ac:dyDescent="0.25">
      <c r="B7" s="215"/>
      <c r="C7" s="577" t="str">
        <f>Langues1!C113</f>
        <v>Ø Tariffa dell'elettricità (IVA inclusa)</v>
      </c>
      <c r="D7" s="577"/>
      <c r="E7" s="13" t="s">
        <v>628</v>
      </c>
      <c r="F7" s="143">
        <v>0.15</v>
      </c>
      <c r="G7" s="140"/>
      <c r="H7" s="140"/>
      <c r="I7" s="140"/>
      <c r="J7" s="140"/>
      <c r="K7" s="140"/>
      <c r="L7" s="140"/>
      <c r="M7" s="140"/>
      <c r="N7" s="140"/>
      <c r="O7" s="140"/>
      <c r="P7" s="140"/>
      <c r="Q7" s="173">
        <f>COUNTBLANK(F7)</f>
        <v>0</v>
      </c>
      <c r="R7" s="11" t="str">
        <f>Langues1!C317</f>
        <v>Indicazione della tariffa media dell'elettricità utilizzata per il calcolo dei costi dell'energia.</v>
      </c>
      <c r="S7" s="270"/>
    </row>
    <row r="8" spans="1:25" s="168" customFormat="1" x14ac:dyDescent="0.25">
      <c r="B8" s="171"/>
      <c r="C8" s="172"/>
      <c r="D8" s="172"/>
      <c r="E8" s="172"/>
      <c r="F8" s="140"/>
      <c r="G8" s="140"/>
      <c r="H8" s="140"/>
      <c r="I8" s="140"/>
      <c r="J8" s="140"/>
      <c r="K8" s="140"/>
      <c r="L8" s="140"/>
      <c r="M8" s="140"/>
      <c r="N8" s="140"/>
      <c r="O8" s="140"/>
      <c r="P8" s="140"/>
      <c r="Q8" s="140"/>
    </row>
    <row r="9" spans="1:25" s="140" customFormat="1" ht="89.25" customHeight="1" x14ac:dyDescent="0.25">
      <c r="B9" s="173"/>
      <c r="C9" s="576" t="str">
        <f>Langues1!C360</f>
        <v>Unità di costo</v>
      </c>
      <c r="D9" s="576"/>
      <c r="E9" s="211" t="str">
        <f>Langues1!C513</f>
        <v>Numero di unità</v>
      </c>
      <c r="F9" s="211" t="str">
        <f>Langues1!C565</f>
        <v>Consumo di elettricità del impianto standard /unità</v>
      </c>
      <c r="G9" s="211" t="str">
        <f>Langues1!C579</f>
        <v>Consumo di elettricità del impianto standard / totale</v>
      </c>
      <c r="H9" s="211" t="str">
        <f>Langues1!C566</f>
        <v>Consumo di elettricità del nuovo impianto / unità</v>
      </c>
      <c r="I9" s="211" t="str">
        <f>Langues1!C580</f>
        <v>Consumo di elettricità del nuovo impianto / totale</v>
      </c>
      <c r="J9" s="211" t="str">
        <f>Langues1!C567</f>
        <v>Fattore di riduzione 
per rata della sostituzione naturale</v>
      </c>
      <c r="K9" s="211" t="str">
        <f>Langues1!C568</f>
        <v>Risparmio di energia elettrica /unità</v>
      </c>
      <c r="L9" s="211" t="str">
        <f>Langues1!C569</f>
        <v>Durata di utilizzo computabile</v>
      </c>
      <c r="M9" s="211" t="str">
        <f>Langues1!C570</f>
        <v>Risparmio di energia elettrica computabile totale all'anno</v>
      </c>
      <c r="N9" s="211" t="str">
        <f>Langues1!C571</f>
        <v>Payback per ogni misura senza i mezzi di Prokilowatt</v>
      </c>
      <c r="O9" s="211" t="str">
        <f>Langues1!C572</f>
        <v>Periodo di payback per ogni misura con i mezzi di incentivazione</v>
      </c>
      <c r="P9" s="211" t="str">
        <f>Langues1!C120</f>
        <v>Risparmio di energia elettrica accumulato computabile</v>
      </c>
      <c r="Q9" s="174"/>
      <c r="S9" s="265"/>
    </row>
    <row r="10" spans="1:25" s="140" customFormat="1" ht="20.100000000000001" customHeight="1" x14ac:dyDescent="0.25">
      <c r="B10" s="175"/>
      <c r="C10" s="547" t="str">
        <f>'3'!C13</f>
        <v>Misure complementari</v>
      </c>
      <c r="D10" s="547"/>
      <c r="E10" s="173"/>
      <c r="F10" s="173"/>
      <c r="G10" s="173"/>
      <c r="H10" s="173"/>
      <c r="I10" s="173"/>
      <c r="J10" s="173"/>
      <c r="K10" s="173"/>
      <c r="L10" s="173"/>
      <c r="M10" s="173"/>
      <c r="N10" s="173"/>
      <c r="O10" s="173"/>
      <c r="P10" s="173"/>
      <c r="Q10" s="174"/>
      <c r="S10" s="265"/>
    </row>
    <row r="11" spans="1:25" s="140" customFormat="1" ht="19.5" customHeight="1" x14ac:dyDescent="0.25">
      <c r="A11" s="544" t="str">
        <f>'3'!A14</f>
        <v>Misure complementari</v>
      </c>
      <c r="B11" s="174"/>
      <c r="C11" s="571" t="str">
        <f>'3'!C14</f>
        <v>Comunicazione del programma</v>
      </c>
      <c r="D11" s="571"/>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25">
      <c r="A12" s="545"/>
      <c r="B12" s="174"/>
      <c r="C12" s="571" t="str">
        <f>'3'!C15</f>
        <v>Costi di formazione e di perfezionamento</v>
      </c>
      <c r="D12" s="571"/>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25">
      <c r="A13" s="545"/>
      <c r="B13" s="174"/>
      <c r="C13" s="571" t="str">
        <f>'3'!C16</f>
        <v>Consulenza</v>
      </c>
      <c r="D13" s="571"/>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25">
      <c r="A14" s="545"/>
      <c r="B14" s="174"/>
      <c r="C14" s="571" t="str">
        <f>'3'!C17</f>
        <v>Messa a disposizione di strumenti di immissione, ecc.</v>
      </c>
      <c r="D14" s="571"/>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25">
      <c r="A15" s="545"/>
      <c r="B15" s="174"/>
      <c r="C15" s="571" t="str">
        <f>'3'!C18</f>
        <v>Monitoraggio</v>
      </c>
      <c r="D15" s="571"/>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25">
      <c r="A16" s="545"/>
      <c r="B16" s="174"/>
      <c r="C16" s="571" t="str">
        <f>'3'!C19</f>
        <v>Misura complementare 6</v>
      </c>
      <c r="D16" s="571"/>
      <c r="E16" s="153">
        <f>'3'!E19</f>
        <v>0</v>
      </c>
      <c r="F16" s="153"/>
      <c r="G16" s="153"/>
      <c r="H16" s="153"/>
      <c r="I16" s="153"/>
      <c r="J16" s="153"/>
      <c r="K16" s="205"/>
      <c r="L16" s="205"/>
      <c r="M16" s="153"/>
      <c r="N16" s="206"/>
      <c r="O16" s="206"/>
      <c r="P16" s="205" t="str">
        <f t="shared" si="0"/>
        <v>-</v>
      </c>
      <c r="Q16" s="175"/>
      <c r="S16" s="265"/>
      <c r="U16" s="182"/>
      <c r="V16" s="379"/>
      <c r="W16" s="379"/>
      <c r="X16" s="379"/>
      <c r="Y16" s="379"/>
    </row>
    <row r="17" spans="1:25" s="140" customFormat="1" ht="19.5" customHeight="1" x14ac:dyDescent="0.25">
      <c r="A17" s="546"/>
      <c r="B17" s="174"/>
      <c r="C17" s="571" t="str">
        <f>'3'!C20</f>
        <v>Misura complementare 7</v>
      </c>
      <c r="D17" s="571"/>
      <c r="E17" s="153">
        <f>'3'!E20</f>
        <v>0</v>
      </c>
      <c r="F17" s="153"/>
      <c r="G17" s="153"/>
      <c r="H17" s="153"/>
      <c r="I17" s="153"/>
      <c r="J17" s="153"/>
      <c r="K17" s="205"/>
      <c r="L17" s="205"/>
      <c r="M17" s="153"/>
      <c r="N17" s="206"/>
      <c r="O17" s="206"/>
      <c r="P17" s="205" t="str">
        <f t="shared" si="0"/>
        <v>-</v>
      </c>
      <c r="Q17" s="175"/>
      <c r="S17" s="265"/>
      <c r="U17" s="183"/>
      <c r="V17" s="380"/>
      <c r="W17" s="379"/>
      <c r="X17" s="379"/>
      <c r="Y17" s="379"/>
    </row>
    <row r="18" spans="1:25" s="140" customFormat="1" ht="20.100000000000001" customHeight="1" x14ac:dyDescent="0.25">
      <c r="B18" s="173"/>
      <c r="C18" s="547" t="str">
        <f>'3'!C26</f>
        <v xml:space="preserve">Misure di incentivazione </v>
      </c>
      <c r="D18" s="547"/>
      <c r="E18" s="173"/>
      <c r="F18" s="192" t="str">
        <f>Langues1!C129</f>
        <v>[kWh/anno]</v>
      </c>
      <c r="G18" s="192" t="str">
        <f>Langues1!C129</f>
        <v>[kWh/anno]</v>
      </c>
      <c r="H18" s="192" t="str">
        <f>Langues1!C129</f>
        <v>[kWh/anno]</v>
      </c>
      <c r="I18" s="192" t="str">
        <f>Langues1!C129</f>
        <v>[kWh/anno]</v>
      </c>
      <c r="J18" s="192" t="s">
        <v>1399</v>
      </c>
      <c r="K18" s="192" t="str">
        <f>Langues1!C129</f>
        <v>[kWh/anno]</v>
      </c>
      <c r="L18" s="192" t="str">
        <f>Langues1!C132</f>
        <v>[anno/anni]</v>
      </c>
      <c r="M18" s="192" t="str">
        <f>Langues1!C129</f>
        <v>[kWh/anno]</v>
      </c>
      <c r="N18" s="192" t="str">
        <f>Langues1!C132</f>
        <v>[anno/anni]</v>
      </c>
      <c r="O18" s="192" t="str">
        <f>Langues1!C132</f>
        <v>[anno/anni]</v>
      </c>
      <c r="P18" s="192" t="s">
        <v>1395</v>
      </c>
      <c r="Q18" s="175"/>
      <c r="R18" s="168" t="str">
        <f>Langues1!C564</f>
        <v>I risparmi vanno indicati separatamente per le singole misure di incentivazione.</v>
      </c>
      <c r="S18" s="265"/>
      <c r="V18" s="379"/>
      <c r="W18" s="379"/>
      <c r="X18" s="379"/>
      <c r="Y18" s="379"/>
    </row>
    <row r="19" spans="1:25" s="140" customFormat="1" ht="20.100000000000001" customHeight="1" x14ac:dyDescent="0.25">
      <c r="A19" s="544" t="str">
        <f>'3'!A27</f>
        <v>Misure di incentivazione per i clienti target</v>
      </c>
      <c r="B19" s="176"/>
      <c r="C19" s="571" t="str">
        <f>'3'!C27</f>
        <v>Scrivere la titolo della misura di incentivazione 1</v>
      </c>
      <c r="D19" s="571"/>
      <c r="E19" s="153">
        <f>'3'!E27</f>
        <v>0</v>
      </c>
      <c r="F19" s="194"/>
      <c r="G19" s="240">
        <f>$E19*F19</f>
        <v>0</v>
      </c>
      <c r="H19" s="194"/>
      <c r="I19" s="240">
        <f>$E19*H19</f>
        <v>0</v>
      </c>
      <c r="J19" s="271">
        <v>0.75</v>
      </c>
      <c r="K19" s="249" t="str">
        <f>IF(COUNTBLANK(F19:J19)&gt;0,$Q$1,(F19-H19))</f>
        <v>-</v>
      </c>
      <c r="L19" s="240">
        <f>IF(E19&gt;0,VLOOKUP('3'!D27,Listes_techno!$B$39:$C$41,2,FALSE),0)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69"/>
      <c r="S19" s="265"/>
      <c r="V19" s="379"/>
      <c r="W19" s="381"/>
      <c r="X19" s="382"/>
      <c r="Y19" s="379"/>
    </row>
    <row r="20" spans="1:25" s="140" customFormat="1" ht="20.100000000000001" customHeight="1" x14ac:dyDescent="0.25">
      <c r="A20" s="545"/>
      <c r="B20" s="175"/>
      <c r="C20" s="571" t="str">
        <f>'3'!C28</f>
        <v>Scrivere la titolo della misura di incentivazione 2</v>
      </c>
      <c r="D20" s="571"/>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IF(E20&gt;0,VLOOKUP('3'!D28,Listes_techno!$B$39:$C$41,2,FALSE),0)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69"/>
      <c r="S20" s="265"/>
      <c r="V20" s="379"/>
      <c r="W20" s="379"/>
      <c r="X20" s="382"/>
      <c r="Y20" s="379"/>
    </row>
    <row r="21" spans="1:25" s="140" customFormat="1" ht="20.100000000000001" customHeight="1" x14ac:dyDescent="0.25">
      <c r="A21" s="545"/>
      <c r="B21" s="175"/>
      <c r="C21" s="571" t="str">
        <f>'3'!C29</f>
        <v>Scrivere la titolo della misura di incentivazione 3</v>
      </c>
      <c r="D21" s="571"/>
      <c r="E21" s="153">
        <f>'3'!E29</f>
        <v>0</v>
      </c>
      <c r="F21" s="194"/>
      <c r="G21" s="240">
        <f t="shared" si="1"/>
        <v>0</v>
      </c>
      <c r="H21" s="194"/>
      <c r="I21" s="240">
        <f t="shared" si="2"/>
        <v>0</v>
      </c>
      <c r="J21" s="271">
        <v>0.75</v>
      </c>
      <c r="K21" s="249" t="str">
        <f t="shared" si="3"/>
        <v>-</v>
      </c>
      <c r="L21" s="240">
        <f>IF(E21&gt;0,VLOOKUP('3'!D29,Listes_techno!$B$39:$C$41,2,FALSE),0)</f>
        <v>0</v>
      </c>
      <c r="M21" s="249" t="str">
        <f t="shared" si="4"/>
        <v>-</v>
      </c>
      <c r="N21" s="250" t="str">
        <f>IF(COUNTBLANK(F21:M21)&gt;0,$Q$1,'3'!H29/(K21*$F$7))</f>
        <v>-</v>
      </c>
      <c r="O21" s="250" t="str">
        <f>IF(COUNTBLANK(F21:M21)&gt;0,$Q$1,('3'!H29-'3'!G29)/(K21*$F$7))</f>
        <v>-</v>
      </c>
      <c r="P21" s="249" t="str">
        <f t="shared" si="5"/>
        <v>-</v>
      </c>
      <c r="Q21" s="173">
        <f t="shared" si="6"/>
        <v>0</v>
      </c>
      <c r="R21" s="569"/>
      <c r="S21" s="265"/>
      <c r="V21" s="379"/>
      <c r="W21" s="379"/>
      <c r="X21" s="382"/>
      <c r="Y21" s="379"/>
    </row>
    <row r="22" spans="1:25" s="140" customFormat="1" ht="20.100000000000001" customHeight="1" x14ac:dyDescent="0.25">
      <c r="A22" s="545"/>
      <c r="B22" s="175"/>
      <c r="C22" s="571" t="str">
        <f>'3'!C30</f>
        <v>Scrivere la titolo della misura di incentivazione 4</v>
      </c>
      <c r="D22" s="571"/>
      <c r="E22" s="153">
        <f>'3'!E30</f>
        <v>0</v>
      </c>
      <c r="F22" s="194"/>
      <c r="G22" s="240">
        <f t="shared" si="1"/>
        <v>0</v>
      </c>
      <c r="H22" s="194"/>
      <c r="I22" s="240">
        <f t="shared" si="2"/>
        <v>0</v>
      </c>
      <c r="J22" s="271">
        <v>0.75</v>
      </c>
      <c r="K22" s="249" t="str">
        <f t="shared" si="3"/>
        <v>-</v>
      </c>
      <c r="L22" s="240">
        <f>IF(E22&gt;0,VLOOKUP('3'!D30,Listes_techno!$B$39:$C$41,2,FALSE),0)</f>
        <v>0</v>
      </c>
      <c r="M22" s="249" t="str">
        <f t="shared" si="4"/>
        <v>-</v>
      </c>
      <c r="N22" s="250" t="str">
        <f>IF(COUNTBLANK(F22:M22)&gt;0,$Q$1,'3'!H30/(K22*$F$7))</f>
        <v>-</v>
      </c>
      <c r="O22" s="250" t="str">
        <f>IF(COUNTBLANK(F22:M22)&gt;0,$Q$1,('3'!H30-'3'!G30)/(K22*$F$7))</f>
        <v>-</v>
      </c>
      <c r="P22" s="249" t="str">
        <f t="shared" si="5"/>
        <v>-</v>
      </c>
      <c r="Q22" s="173">
        <f t="shared" si="6"/>
        <v>0</v>
      </c>
      <c r="R22" s="569"/>
      <c r="S22" s="265"/>
      <c r="V22" s="379"/>
      <c r="W22" s="379"/>
      <c r="X22" s="382"/>
      <c r="Y22" s="379"/>
    </row>
    <row r="23" spans="1:25" s="140" customFormat="1" ht="20.100000000000001" customHeight="1" x14ac:dyDescent="0.25">
      <c r="A23" s="545"/>
      <c r="B23" s="175"/>
      <c r="C23" s="571" t="str">
        <f>'3'!C31</f>
        <v>Scrivere la titolo della misura di incentivazione 5</v>
      </c>
      <c r="D23" s="571"/>
      <c r="E23" s="153">
        <f>'3'!E31</f>
        <v>0</v>
      </c>
      <c r="F23" s="194"/>
      <c r="G23" s="240">
        <f t="shared" si="1"/>
        <v>0</v>
      </c>
      <c r="H23" s="194"/>
      <c r="I23" s="240">
        <f t="shared" si="2"/>
        <v>0</v>
      </c>
      <c r="J23" s="271">
        <v>0.75</v>
      </c>
      <c r="K23" s="249" t="str">
        <f t="shared" si="3"/>
        <v>-</v>
      </c>
      <c r="L23" s="240">
        <f>IF(E23&gt;0,VLOOKUP('3'!D31,Listes_techno!$B$39:$C$41,2,FALSE),0)</f>
        <v>0</v>
      </c>
      <c r="M23" s="249" t="str">
        <f t="shared" si="4"/>
        <v>-</v>
      </c>
      <c r="N23" s="250" t="str">
        <f>IF(COUNTBLANK(F23:M23)&gt;0,$Q$1,'3'!H31/(K23*$F$7))</f>
        <v>-</v>
      </c>
      <c r="O23" s="250" t="str">
        <f>IF(COUNTBLANK(F23:M23)&gt;0,$Q$1,('3'!H31-'3'!G31)/(K23*$F$7))</f>
        <v>-</v>
      </c>
      <c r="P23" s="249" t="str">
        <f t="shared" si="5"/>
        <v>-</v>
      </c>
      <c r="Q23" s="173">
        <f t="shared" si="6"/>
        <v>0</v>
      </c>
      <c r="R23" s="195" t="str">
        <f>Langues1!C576</f>
        <v>In caso di ottimizzazione del funzionamento le misure devono essere indicate per impianto.</v>
      </c>
      <c r="S23" s="265"/>
      <c r="V23" s="379"/>
      <c r="W23" s="379"/>
      <c r="X23" s="382"/>
      <c r="Y23" s="379"/>
    </row>
    <row r="24" spans="1:25" s="140" customFormat="1" ht="20.100000000000001" customHeight="1" x14ac:dyDescent="0.25">
      <c r="A24" s="545"/>
      <c r="B24" s="175"/>
      <c r="C24" s="571" t="str">
        <f>'3'!C32</f>
        <v>Scrivere la titolo della misura di incentivazione 6</v>
      </c>
      <c r="D24" s="571"/>
      <c r="E24" s="153">
        <f>'3'!E32</f>
        <v>0</v>
      </c>
      <c r="F24" s="194"/>
      <c r="G24" s="240">
        <f t="shared" si="1"/>
        <v>0</v>
      </c>
      <c r="H24" s="194"/>
      <c r="I24" s="240">
        <f t="shared" si="2"/>
        <v>0</v>
      </c>
      <c r="J24" s="271">
        <v>0.75</v>
      </c>
      <c r="K24" s="249" t="str">
        <f t="shared" si="3"/>
        <v>-</v>
      </c>
      <c r="L24" s="240">
        <f>IF(E24&gt;0,VLOOKUP('3'!D32,Listes_techno!$B$39:$C$41,2,FALSE),0)</f>
        <v>0</v>
      </c>
      <c r="M24" s="249" t="str">
        <f t="shared" si="4"/>
        <v>-</v>
      </c>
      <c r="N24" s="250" t="str">
        <f>IF(COUNTBLANK(F24:M24)&gt;0,$Q$1,'3'!H32/(K24*$F$7))</f>
        <v>-</v>
      </c>
      <c r="O24" s="250" t="str">
        <f>IF(COUNTBLANK(F24:M24)&gt;0,$Q$1,('3'!H32-'3'!G32)/(K24*$F$7))</f>
        <v>-</v>
      </c>
      <c r="P24" s="249" t="str">
        <f t="shared" si="5"/>
        <v>-</v>
      </c>
      <c r="Q24" s="173">
        <f t="shared" si="6"/>
        <v>0</v>
      </c>
      <c r="S24" s="265"/>
      <c r="V24" s="379"/>
      <c r="W24" s="379"/>
      <c r="X24" s="382"/>
      <c r="Y24" s="379"/>
    </row>
    <row r="25" spans="1:25" s="140" customFormat="1" ht="20.100000000000001" customHeight="1" x14ac:dyDescent="0.25">
      <c r="A25" s="545"/>
      <c r="B25" s="174"/>
      <c r="C25" s="571" t="str">
        <f>'3'!C33</f>
        <v>Scrivere la titolo della misura di incentivazione 7</v>
      </c>
      <c r="D25" s="571"/>
      <c r="E25" s="153">
        <f>'3'!E33</f>
        <v>0</v>
      </c>
      <c r="F25" s="194"/>
      <c r="G25" s="240">
        <f t="shared" si="1"/>
        <v>0</v>
      </c>
      <c r="H25" s="194"/>
      <c r="I25" s="240">
        <f t="shared" si="2"/>
        <v>0</v>
      </c>
      <c r="J25" s="271">
        <v>0.75</v>
      </c>
      <c r="K25" s="249" t="str">
        <f t="shared" si="3"/>
        <v>-</v>
      </c>
      <c r="L25" s="240">
        <f>IF(E25&gt;0,VLOOKUP('3'!D33,Listes_techno!$B$39:$C$41,2,FALSE),0)</f>
        <v>0</v>
      </c>
      <c r="M25" s="249" t="str">
        <f t="shared" si="4"/>
        <v>-</v>
      </c>
      <c r="N25" s="250" t="str">
        <f>IF(COUNTBLANK(F25:M25)&gt;0,$Q$1,'3'!H33/(K25*$F$7))</f>
        <v>-</v>
      </c>
      <c r="O25" s="250" t="str">
        <f>IF(COUNTBLANK(F25:M25)&gt;0,$Q$1,('3'!H33-'3'!G33)/(K25*$F$7))</f>
        <v>-</v>
      </c>
      <c r="P25" s="249" t="str">
        <f t="shared" si="5"/>
        <v>-</v>
      </c>
      <c r="Q25" s="173">
        <f t="shared" si="6"/>
        <v>0</v>
      </c>
      <c r="S25" s="265"/>
      <c r="V25" s="379"/>
      <c r="W25" s="379"/>
      <c r="X25" s="382"/>
      <c r="Y25" s="379"/>
    </row>
    <row r="26" spans="1:25" s="140" customFormat="1" ht="20.100000000000001" customHeight="1" x14ac:dyDescent="0.25">
      <c r="A26" s="545"/>
      <c r="B26" s="174"/>
      <c r="C26" s="571" t="str">
        <f>'3'!C34</f>
        <v>Scrivere la titolo della misura di incentivazione 8</v>
      </c>
      <c r="D26" s="571"/>
      <c r="E26" s="153">
        <f>'3'!E34</f>
        <v>0</v>
      </c>
      <c r="F26" s="194"/>
      <c r="G26" s="240">
        <f t="shared" si="1"/>
        <v>0</v>
      </c>
      <c r="H26" s="194"/>
      <c r="I26" s="240">
        <f t="shared" si="2"/>
        <v>0</v>
      </c>
      <c r="J26" s="271">
        <v>0.75</v>
      </c>
      <c r="K26" s="249" t="str">
        <f t="shared" si="3"/>
        <v>-</v>
      </c>
      <c r="L26" s="240">
        <f>IF(E26&gt;0,VLOOKUP('3'!D34,Listes_techno!$B$39:$C$41,2,FALSE),0)</f>
        <v>0</v>
      </c>
      <c r="M26" s="249" t="str">
        <f t="shared" si="4"/>
        <v>-</v>
      </c>
      <c r="N26" s="250" t="str">
        <f>IF(COUNTBLANK(F26:M26)&gt;0,$Q$1,'3'!H34/(K26*$F$7))</f>
        <v>-</v>
      </c>
      <c r="O26" s="250" t="str">
        <f>IF(COUNTBLANK(F26:M26)&gt;0,$Q$1,('3'!H34-'3'!G34)/(K26*$F$7))</f>
        <v>-</v>
      </c>
      <c r="P26" s="249" t="str">
        <f t="shared" si="5"/>
        <v>-</v>
      </c>
      <c r="Q26" s="173">
        <f t="shared" si="6"/>
        <v>0</v>
      </c>
      <c r="S26" s="265"/>
      <c r="V26" s="379"/>
      <c r="W26" s="379"/>
      <c r="X26" s="382"/>
      <c r="Y26" s="379"/>
    </row>
    <row r="27" spans="1:25" s="140" customFormat="1" ht="20.100000000000001" customHeight="1" x14ac:dyDescent="0.25">
      <c r="A27" s="546"/>
      <c r="B27" s="174"/>
      <c r="C27" s="571" t="str">
        <f>'3'!C35</f>
        <v>Analisi</v>
      </c>
      <c r="D27" s="571"/>
      <c r="E27" s="153">
        <f>'3'!E35</f>
        <v>0</v>
      </c>
      <c r="F27" s="153"/>
      <c r="G27" s="153"/>
      <c r="H27" s="153"/>
      <c r="I27" s="153"/>
      <c r="J27" s="153"/>
      <c r="K27" s="205"/>
      <c r="L27" s="153"/>
      <c r="M27" s="205"/>
      <c r="N27" s="206"/>
      <c r="O27" s="206"/>
      <c r="P27" s="205"/>
      <c r="S27" s="265"/>
      <c r="U27" s="183"/>
      <c r="V27" s="380"/>
      <c r="W27" s="379"/>
      <c r="X27" s="379"/>
      <c r="Y27" s="379"/>
    </row>
    <row r="28" spans="1:25" s="140" customFormat="1" ht="20.100000000000001" customHeight="1" x14ac:dyDescent="0.25">
      <c r="E28" s="212" t="str">
        <f>Langues1!C543</f>
        <v>Medie ponderate</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0"/>
      <c r="W28" s="379"/>
      <c r="X28" s="379"/>
      <c r="Y28" s="379"/>
    </row>
    <row r="29" spans="1:25" s="140" customFormat="1" ht="20.100000000000001" customHeight="1" x14ac:dyDescent="0.25">
      <c r="E29" s="184" t="str">
        <f>Langues1!C578</f>
        <v>Totale</v>
      </c>
      <c r="F29" s="190"/>
      <c r="G29" s="251">
        <f>SUM(G19:G26)</f>
        <v>0</v>
      </c>
      <c r="H29" s="190"/>
      <c r="I29" s="251">
        <f>SUMPRODUCT(I19:I26)</f>
        <v>0</v>
      </c>
      <c r="M29" s="251">
        <f>SUM(M19:M26)</f>
        <v>0</v>
      </c>
      <c r="P29" s="209">
        <f>SUM(P11:P26)</f>
        <v>0</v>
      </c>
      <c r="S29" s="265"/>
      <c r="V29" s="183"/>
    </row>
    <row r="30" spans="1:25" s="140" customFormat="1" ht="20.100000000000001" customHeight="1" x14ac:dyDescent="0.25">
      <c r="E30" s="184" t="s">
        <v>1375</v>
      </c>
      <c r="F30" s="251" t="e">
        <f>F28*$F$7</f>
        <v>#DIV/0!</v>
      </c>
      <c r="G30" s="251">
        <f>G29*$F$7</f>
        <v>0</v>
      </c>
      <c r="H30" s="251" t="e">
        <f>H28*$F$7</f>
        <v>#DIV/0!</v>
      </c>
      <c r="I30" s="251">
        <f>I29*$F$7</f>
        <v>0</v>
      </c>
      <c r="M30" s="251">
        <f>M29*$F$7</f>
        <v>0</v>
      </c>
      <c r="P30" s="251">
        <f>P29*$F$7</f>
        <v>0</v>
      </c>
      <c r="S30" s="265"/>
    </row>
    <row r="31" spans="1:25" s="140" customFormat="1" ht="20.100000000000001" customHeight="1" x14ac:dyDescent="0.25">
      <c r="M31" s="252"/>
      <c r="P31" s="208" t="e">
        <f>P29/SUMPRODUCT(E19:E27,F19:F27,L19:L27)</f>
        <v>#DIV/0!</v>
      </c>
      <c r="S31" s="265"/>
    </row>
    <row r="32" spans="1:25" s="140" customFormat="1" ht="95.25" customHeight="1" x14ac:dyDescent="0.25">
      <c r="D32" s="213" t="str">
        <f>Langues1!C548</f>
        <v>Osservazione(i)</v>
      </c>
      <c r="E32" s="572"/>
      <c r="F32" s="573"/>
      <c r="G32" s="573"/>
      <c r="H32" s="573"/>
      <c r="I32" s="573"/>
      <c r="J32" s="573"/>
      <c r="K32" s="573"/>
      <c r="L32" s="573"/>
      <c r="M32" s="573"/>
      <c r="N32" s="573"/>
      <c r="O32" s="573"/>
      <c r="P32" s="574"/>
      <c r="S32" s="265"/>
    </row>
    <row r="33" spans="17:19" s="140" customFormat="1" x14ac:dyDescent="0.25">
      <c r="S33" s="265"/>
    </row>
    <row r="34" spans="17:19" s="140" customFormat="1" x14ac:dyDescent="0.25">
      <c r="S34" s="265"/>
    </row>
    <row r="35" spans="17:19" s="140" customFormat="1" x14ac:dyDescent="0.25">
      <c r="S35" s="265"/>
    </row>
    <row r="36" spans="17:19" s="140" customFormat="1" x14ac:dyDescent="0.25">
      <c r="S36" s="265"/>
    </row>
    <row r="37" spans="17:19" s="140" customFormat="1" x14ac:dyDescent="0.25">
      <c r="S37" s="265"/>
    </row>
    <row r="38" spans="17:19" x14ac:dyDescent="0.25">
      <c r="Q38" s="140"/>
    </row>
    <row r="39" spans="17:19" x14ac:dyDescent="0.25">
      <c r="Q39" s="140"/>
    </row>
    <row r="40" spans="17:19" x14ac:dyDescent="0.25">
      <c r="Q40" s="140"/>
    </row>
    <row r="41" spans="17:19" x14ac:dyDescent="0.25">
      <c r="Q41" s="168"/>
    </row>
    <row r="42" spans="17:19" x14ac:dyDescent="0.25">
      <c r="Q42" s="168"/>
    </row>
    <row r="43" spans="17:19" x14ac:dyDescent="0.25">
      <c r="Q43" s="140"/>
    </row>
    <row r="44" spans="17:19" x14ac:dyDescent="0.25">
      <c r="Q44" s="140"/>
    </row>
    <row r="45" spans="17:19" x14ac:dyDescent="0.25">
      <c r="Q45" s="140"/>
    </row>
    <row r="50" spans="6:6" x14ac:dyDescent="0.25">
      <c r="F50" s="265"/>
    </row>
  </sheetData>
  <sheetProtection algorithmName="SHA-512" hashValue="D9ReF1zqdpwhgrPPpUuJHrRvjaO4S6/mDSGK7cf8JrudrA6Wg72z/GncKZAw0WHRgnH4D5EgINOoPzDkYd/hmw==" saltValue="nvpFu6h4QzWfBgLl2KNMtA==" spinCount="100000" sheet="1" objects="1" scenarios="1" formatCells="0" formatColumns="0" formatRows="0"/>
  <mergeCells count="30">
    <mergeCell ref="E32:P32"/>
    <mergeCell ref="C23:D23"/>
    <mergeCell ref="C24:D24"/>
    <mergeCell ref="D2:O2"/>
    <mergeCell ref="C25:D25"/>
    <mergeCell ref="C26:D26"/>
    <mergeCell ref="C27:D27"/>
    <mergeCell ref="C10:D10"/>
    <mergeCell ref="C9:D9"/>
    <mergeCell ref="B4:C4"/>
    <mergeCell ref="B1:C2"/>
    <mergeCell ref="B3:C3"/>
    <mergeCell ref="C18:D18"/>
    <mergeCell ref="C7:D7"/>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E10" sqref="E10"/>
    </sheetView>
  </sheetViews>
  <sheetFormatPr baseColWidth="10" defaultColWidth="11.44140625" defaultRowHeight="13.2" x14ac:dyDescent="0.25"/>
  <cols>
    <col min="1" max="1" width="4.5546875" style="9" bestFit="1" customWidth="1"/>
    <col min="2" max="5" width="20.6640625" style="9" customWidth="1"/>
    <col min="6" max="6" width="5.5546875" style="9" customWidth="1"/>
    <col min="7" max="7" width="58.5546875" style="9" customWidth="1"/>
    <col min="8" max="11" width="11.44140625" style="9"/>
    <col min="12" max="14" width="11.44140625" style="9" hidden="1" customWidth="1"/>
    <col min="15" max="16384" width="11.44140625" style="9"/>
  </cols>
  <sheetData>
    <row r="1" spans="1:13" ht="24.75" customHeight="1" x14ac:dyDescent="0.25">
      <c r="A1" s="479"/>
      <c r="B1" s="480"/>
      <c r="C1" s="483" t="str">
        <f>Menu!C19</f>
        <v>Consenso e osservazioni</v>
      </c>
      <c r="D1" s="484"/>
      <c r="E1" s="485"/>
      <c r="G1" s="35" t="str">
        <f>'2'!G1</f>
        <v>Istruzioni e spiegazioni</v>
      </c>
    </row>
    <row r="2" spans="1:13" ht="21" customHeight="1" x14ac:dyDescent="0.25">
      <c r="A2" s="481"/>
      <c r="B2" s="482"/>
      <c r="C2" s="486" t="str">
        <f>'2'!C2</f>
        <v>Stato</v>
      </c>
      <c r="D2" s="502"/>
      <c r="E2" s="1">
        <f>SUM(F7:F10)</f>
        <v>2</v>
      </c>
    </row>
    <row r="3" spans="1:13" x14ac:dyDescent="0.25">
      <c r="A3" s="491" t="str">
        <f>'0'!A3</f>
        <v>Partner principale</v>
      </c>
      <c r="B3" s="492"/>
      <c r="C3" s="489">
        <f>'2'!C7</f>
        <v>0</v>
      </c>
      <c r="D3" s="493"/>
      <c r="E3" s="1"/>
    </row>
    <row r="4" spans="1:13" x14ac:dyDescent="0.25">
      <c r="A4" s="491" t="str">
        <f>'0'!A4</f>
        <v>Acronimo del programma</v>
      </c>
      <c r="B4" s="492"/>
      <c r="C4" s="489">
        <f>'1'!C8</f>
        <v>0</v>
      </c>
      <c r="D4" s="493"/>
      <c r="E4" s="1"/>
    </row>
    <row r="6" spans="1:13" x14ac:dyDescent="0.25">
      <c r="A6" s="16">
        <v>5.0999999999999996</v>
      </c>
      <c r="B6" s="585" t="str">
        <f>Langues1!C470</f>
        <v>Consenso</v>
      </c>
      <c r="C6" s="585"/>
      <c r="D6" s="585"/>
      <c r="E6" s="585"/>
      <c r="G6" s="11"/>
    </row>
    <row r="7" spans="1:13" ht="80.099999999999994" customHeight="1" x14ac:dyDescent="0.25">
      <c r="A7" s="14"/>
      <c r="B7" s="578" t="str">
        <f>Langues1!C471</f>
        <v>Il richiedente conferma con un SÌ e con una firma legalmente valida di avere letto e accettato les  «Condizioni per la presentazione di progetti e programmi 2020».</v>
      </c>
      <c r="C7" s="578"/>
      <c r="D7" s="578"/>
      <c r="E7" s="99"/>
      <c r="F7" s="5">
        <f>COUNTBLANK(C7)*IF(E7=M7,0,1)</f>
        <v>1</v>
      </c>
      <c r="G7" s="17" t="str">
        <f>Langues1!C477</f>
        <v xml:space="preserve">La gara e le condizioni per la presentazione di progetti e programmi 2020 vincolante possono essere scaricate sul sito www.prokw.ch. </v>
      </c>
      <c r="M7" s="9" t="str">
        <f>Langues1!C64</f>
        <v>Sì</v>
      </c>
    </row>
    <row r="9" spans="1:13" x14ac:dyDescent="0.25">
      <c r="A9" s="18">
        <v>5.2</v>
      </c>
      <c r="B9" s="11" t="str">
        <f>Langues1!C472</f>
        <v>Correttezza, completezza e verificabilità dei dati</v>
      </c>
    </row>
    <row r="10" spans="1:13" ht="99.9" customHeight="1" x14ac:dyDescent="0.25">
      <c r="A10" s="14"/>
      <c r="B10" s="579" t="str">
        <f>Langues1!C473</f>
        <v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v>
      </c>
      <c r="C10" s="580"/>
      <c r="D10" s="581"/>
      <c r="E10" s="99"/>
      <c r="F10" s="5">
        <f>COUNTBLANK(C10)*IF(E10=M10,0,1)</f>
        <v>1</v>
      </c>
      <c r="G10" s="17"/>
      <c r="M10" s="9" t="str">
        <f>Langues1!C64</f>
        <v>Sì</v>
      </c>
    </row>
    <row r="11" spans="1:13" ht="12.75" customHeight="1" x14ac:dyDescent="0.25">
      <c r="A11" s="3"/>
      <c r="B11" s="19"/>
      <c r="C11" s="19"/>
      <c r="D11" s="19"/>
      <c r="E11" s="19"/>
      <c r="G11" s="17"/>
    </row>
    <row r="12" spans="1:13" ht="12.75" customHeight="1" x14ac:dyDescent="0.25">
      <c r="A12" s="73">
        <v>6.1</v>
      </c>
      <c r="B12" s="586" t="str">
        <f>Langues1!C497</f>
        <v>Osservazioni sulla proposta</v>
      </c>
      <c r="C12" s="586"/>
      <c r="D12" s="586"/>
      <c r="E12" s="586"/>
      <c r="F12" s="71"/>
      <c r="G12" s="17"/>
    </row>
    <row r="13" spans="1:13" ht="108.75" customHeight="1" x14ac:dyDescent="0.25">
      <c r="A13" s="95"/>
      <c r="B13" s="582"/>
      <c r="C13" s="583"/>
      <c r="D13" s="583"/>
      <c r="E13" s="584"/>
      <c r="F13" s="5">
        <v>0</v>
      </c>
    </row>
    <row r="14" spans="1:13" x14ac:dyDescent="0.25">
      <c r="A14" s="71"/>
      <c r="B14" s="71"/>
      <c r="C14" s="71"/>
      <c r="D14" s="71"/>
      <c r="E14" s="71"/>
      <c r="F14" s="71"/>
    </row>
    <row r="15" spans="1:13" x14ac:dyDescent="0.25">
      <c r="A15" s="76">
        <v>6.2</v>
      </c>
      <c r="B15" s="74" t="str">
        <f>Langues1!C498</f>
        <v>Suggerimenti relativi alla documentazione del bando di gara</v>
      </c>
      <c r="C15" s="71"/>
      <c r="D15" s="71"/>
      <c r="E15" s="71"/>
      <c r="F15" s="71"/>
    </row>
    <row r="16" spans="1:13" ht="96.75" customHeight="1" x14ac:dyDescent="0.25">
      <c r="A16" s="95"/>
      <c r="B16" s="582"/>
      <c r="C16" s="583"/>
      <c r="D16" s="583"/>
      <c r="E16" s="584"/>
      <c r="F16" s="5">
        <v>0</v>
      </c>
    </row>
    <row r="17" spans="1:5" ht="12.75" customHeight="1" x14ac:dyDescent="0.25">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2"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B23" sqref="B23"/>
    </sheetView>
  </sheetViews>
  <sheetFormatPr baseColWidth="10" defaultColWidth="11.44140625" defaultRowHeight="13.2" x14ac:dyDescent="0.25"/>
  <cols>
    <col min="1" max="1" width="72.109375" style="25" customWidth="1"/>
    <col min="2" max="2" width="32.88671875" style="25" customWidth="1"/>
    <col min="3" max="3" width="21.88671875" style="25" customWidth="1"/>
    <col min="4" max="4" width="21.109375" style="25" customWidth="1"/>
    <col min="5" max="16384" width="11.44140625" style="25"/>
  </cols>
  <sheetData>
    <row r="1" spans="1:6" x14ac:dyDescent="0.25">
      <c r="A1" s="301"/>
    </row>
    <row r="2" spans="1:6" x14ac:dyDescent="0.25">
      <c r="A2" s="301" t="s">
        <v>1882</v>
      </c>
      <c r="B2" s="25" t="s">
        <v>1879</v>
      </c>
      <c r="C2" s="25" t="s">
        <v>1880</v>
      </c>
      <c r="D2" s="25" t="s">
        <v>1881</v>
      </c>
      <c r="F2" s="25" t="s">
        <v>1888</v>
      </c>
    </row>
    <row r="3" spans="1:6" x14ac:dyDescent="0.25">
      <c r="A3" s="265" t="str">
        <f>Langues1!C589</f>
        <v>Programma</v>
      </c>
      <c r="B3" s="376">
        <v>10</v>
      </c>
      <c r="C3" s="376">
        <v>25</v>
      </c>
      <c r="D3" s="25">
        <v>75</v>
      </c>
      <c r="F3" s="25">
        <f>IF('1'!C9=Ctrl!A3,1,0)</f>
        <v>1</v>
      </c>
    </row>
    <row r="4" spans="1:6" x14ac:dyDescent="0.25">
      <c r="A4" s="265" t="str">
        <f>Langues1!C590</f>
        <v>Programma per l'esecuuione di aste die progetti</v>
      </c>
      <c r="B4" s="376">
        <v>10</v>
      </c>
      <c r="C4" s="376">
        <v>20</v>
      </c>
      <c r="D4" s="25">
        <v>80</v>
      </c>
      <c r="F4" s="25">
        <f>1-F3</f>
        <v>0</v>
      </c>
    </row>
    <row r="5" spans="1:6" x14ac:dyDescent="0.25">
      <c r="A5" s="265"/>
    </row>
    <row r="8" spans="1:6" x14ac:dyDescent="0.25">
      <c r="A8" s="301" t="s">
        <v>1883</v>
      </c>
    </row>
    <row r="9" spans="1:6" x14ac:dyDescent="0.25">
      <c r="A9" s="25" t="s">
        <v>1885</v>
      </c>
      <c r="B9" s="376">
        <v>150000</v>
      </c>
    </row>
    <row r="10" spans="1:6" x14ac:dyDescent="0.25">
      <c r="A10" s="25" t="s">
        <v>1884</v>
      </c>
      <c r="B10" s="376">
        <v>3000000</v>
      </c>
    </row>
    <row r="12" spans="1:6" x14ac:dyDescent="0.25">
      <c r="A12" s="301" t="s">
        <v>1886</v>
      </c>
    </row>
    <row r="13" spans="1:6" x14ac:dyDescent="0.25">
      <c r="A13" s="25" t="s">
        <v>1879</v>
      </c>
      <c r="B13" s="25">
        <f>IF(F3=1,B3,B4)</f>
        <v>10</v>
      </c>
    </row>
    <row r="14" spans="1:6" x14ac:dyDescent="0.25">
      <c r="A14" s="25" t="s">
        <v>1880</v>
      </c>
      <c r="B14" s="25">
        <v>30</v>
      </c>
    </row>
    <row r="15" spans="1:6" x14ac:dyDescent="0.25">
      <c r="A15" s="25" t="s">
        <v>1881</v>
      </c>
      <c r="B15" s="25">
        <v>70</v>
      </c>
    </row>
    <row r="16" spans="1:6" x14ac:dyDescent="0.25">
      <c r="A16" s="25" t="s">
        <v>1887</v>
      </c>
      <c r="B16" s="376">
        <v>10</v>
      </c>
    </row>
    <row r="20" spans="1:3" x14ac:dyDescent="0.25">
      <c r="A20" s="25" t="s">
        <v>1889</v>
      </c>
      <c r="B20" s="25">
        <v>0.15</v>
      </c>
      <c r="C20" s="378">
        <v>0.2</v>
      </c>
    </row>
    <row r="23" spans="1:3" x14ac:dyDescent="0.25">
      <c r="A23" s="265" t="s">
        <v>1955</v>
      </c>
      <c r="B23" s="70">
        <f>IF('0'!E48&gt;15,1,0)</f>
        <v>0</v>
      </c>
    </row>
    <row r="592" spans="6:6" x14ac:dyDescent="0.25">
      <c r="F592" s="308" t="s">
        <v>1586</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6A7DB1202FAB449CB1C4816A1E6A9C" ma:contentTypeVersion="10" ma:contentTypeDescription="Crée un document." ma:contentTypeScope="" ma:versionID="040c8b95fd98fc143d6417b78fc6a5d4">
  <xsd:schema xmlns:xsd="http://www.w3.org/2001/XMLSchema" xmlns:xs="http://www.w3.org/2001/XMLSchema" xmlns:p="http://schemas.microsoft.com/office/2006/metadata/properties" xmlns:ns2="b755f2c3-33a2-4fca-a5b9-4b2ee20ca95c" xmlns:ns3="9d88c921-a49f-44c2-907b-93f3c7c2a012" targetNamespace="http://schemas.microsoft.com/office/2006/metadata/properties" ma:root="true" ma:fieldsID="10a26a8523f12882572945daa3cc0d2c" ns2:_="" ns3:_="">
    <xsd:import namespace="b755f2c3-33a2-4fca-a5b9-4b2ee20ca95c"/>
    <xsd:import namespace="9d88c921-a49f-44c2-907b-93f3c7c2a0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5f2c3-33a2-4fca-a5b9-4b2ee20ca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8c921-a49f-44c2-907b-93f3c7c2a01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54721-5EB3-4372-BC9E-2EBBA25A9F90}">
  <ds:schemaRefs>
    <ds:schemaRef ds:uri="9d88c921-a49f-44c2-907b-93f3c7c2a012"/>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b755f2c3-33a2-4fca-a5b9-4b2ee20ca95c"/>
  </ds:schemaRefs>
</ds:datastoreItem>
</file>

<file path=customXml/itemProps2.xml><?xml version="1.0" encoding="utf-8"?>
<ds:datastoreItem xmlns:ds="http://schemas.openxmlformats.org/officeDocument/2006/customXml" ds:itemID="{6C7CA1D4-595B-40CD-BBE6-C62537A6AAE0}">
  <ds:schemaRefs>
    <ds:schemaRef ds:uri="http://schemas.microsoft.com/sharepoint/v3/contenttype/forms"/>
  </ds:schemaRefs>
</ds:datastoreItem>
</file>

<file path=customXml/itemProps3.xml><?xml version="1.0" encoding="utf-8"?>
<ds:datastoreItem xmlns:ds="http://schemas.openxmlformats.org/officeDocument/2006/customXml" ds:itemID="{B87D0399-2A28-40BE-B492-DBAE6586ED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Guillaume Von Roten</cp:lastModifiedBy>
  <cp:lastPrinted>2016-08-22T06:57:17Z</cp:lastPrinted>
  <dcterms:created xsi:type="dcterms:W3CDTF">2004-07-19T13:25:26Z</dcterms:created>
  <dcterms:modified xsi:type="dcterms:W3CDTF">2019-10-18T09:41:45Z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0x010100CD6A7DB1202FAB449CB1C4816A1E6A9C</vt:lpwstr>
  </property>
</Properties>
</file>